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5"/>
  <workbookPr codeName="ThisWorkbook" autoCompressPictures="0"/>
  <mc:AlternateContent xmlns:mc="http://schemas.openxmlformats.org/markup-compatibility/2006">
    <mc:Choice Requires="x15">
      <x15ac:absPath xmlns:x15ac="http://schemas.microsoft.com/office/spreadsheetml/2010/11/ac" url="/Users/melaniekoch/Dropbox (Corporate)/Addenda/2018_Q4/MS Documents/Checklists/"/>
    </mc:Choice>
  </mc:AlternateContent>
  <xr:revisionPtr revIDLastSave="0" documentId="8_{ECD7CB63-F470-6C49-9A5B-B774D182B3FC}" xr6:coauthVersionLast="36" xr6:coauthVersionMax="36" xr10:uidLastSave="{00000000-0000-0000-0000-000000000000}"/>
  <workbookProtection workbookAlgorithmName="SHA-512" workbookHashValue="Nc+hCqQhxdRvx2grvhSo4MD3+/yp8zE5Go/1a231KZxmiGisksyiQCDzBF/p/mupV8AHNCahfioGGhssIXAKVQ==" workbookSaltValue="ZCCqKQyF4wcvG1bVntXxZg==" workbookSpinCount="100000" lockStructure="1"/>
  <bookViews>
    <workbookView xWindow="440" yWindow="460" windowWidth="27500" windowHeight="15900" tabRatio="560" xr2:uid="{00000000-000D-0000-FFFF-FFFF00000000}"/>
  </bookViews>
  <sheets>
    <sheet name="Instructions" sheetId="21" r:id="rId1"/>
    <sheet name="Project Checklist" sheetId="19" r:id="rId2"/>
    <sheet name="Certification Matrix" sheetId="13" r:id="rId3"/>
    <sheet name="Admin" sheetId="18" state="hidden" r:id="rId4"/>
  </sheets>
  <externalReferences>
    <externalReference r:id="rId5"/>
  </externalReferences>
  <definedNames>
    <definedName name="_xlnm._FilterDatabase" localSheetId="1" hidden="1">'Project Checklist'!$H$2:$H$15</definedName>
    <definedName name="areaPercent">Admin!$M$24</definedName>
    <definedName name="countPercent">Admin!$M$23</definedName>
    <definedName name="ctrlTypo" localSheetId="0">[1]Admin!$M$2</definedName>
    <definedName name="ctrlTypo">Admin!$K$2</definedName>
    <definedName name="listCreditPvO" localSheetId="0">'[1]Certification Matrix'!$E$10:$E$38,'[1]Certification Matrix'!$E$43:$E$50,'[1]Certification Matrix'!$N$10:$N$24,'[1]Certification Matrix'!$N$29:$N$39,'[1]Certification Matrix'!$N$44:$N$51,'[1]Certification Matrix'!$W$10:$W$21,'[1]Certification Matrix'!$W$26:$W$44</definedName>
    <definedName name="listCreditPvO">'Certification Matrix'!$E$11:$E$37,'Certification Matrix'!$E$26:$E$33,'Certification Matrix'!$N$21:$N$21,'Certification Matrix'!$N$11:$N$40,'Certification Matrix'!$N$24:$N$31,'Certification Matrix'!$W$18:$W$18,'Certification Matrix'!$W$32:$W$45</definedName>
    <definedName name="listLvlAir" localSheetId="0">'[1]Certification Matrix'!$E$10:$E$38</definedName>
    <definedName name="listLvlAir">'Certification Matrix'!$E$11:$E$21</definedName>
    <definedName name="listLvlCommunity">'Certification Matrix'!$AG$11:$AG$29</definedName>
    <definedName name="ListLvlFit" localSheetId="0">'[1]Certification Matrix'!$N$44:$N$51</definedName>
    <definedName name="ListLvlFit">'Certification Matrix'!$N$24:$N$38</definedName>
    <definedName name="listLvlInnovation">'Certification Matrix'!$AG$34:$AG$37</definedName>
    <definedName name="listLvlLight" localSheetId="0">'[1]Certification Matrix'!$N$29:$N$39</definedName>
    <definedName name="listLvlLight">'Certification Matrix'!$N$11:$N$19</definedName>
    <definedName name="listLvlMaterial">'Certification Matrix'!$W$21:$W$27</definedName>
    <definedName name="listLvlMind" localSheetId="0">'[1]Certification Matrix'!$W$26:$W$44</definedName>
    <definedName name="listLvlMind">'Certification Matrix'!$W$32:$W$44</definedName>
    <definedName name="listLvlNourish" localSheetId="0">'[1]Certification Matrix'!$N$10:$N$24</definedName>
    <definedName name="listLvlNourish">'Certification Matrix'!$E$40:$E$50</definedName>
    <definedName name="listLvlSound">'Certification Matrix'!$W$11:$W$16</definedName>
    <definedName name="listLvlTemperature">'Certification Matrix'!$N$43:$N$51</definedName>
    <definedName name="listLvlWater" localSheetId="0">'[1]Certification Matrix'!$E$43:$E$50</definedName>
    <definedName name="listLvlWater">'Certification Matrix'!$E$26:$E$35</definedName>
    <definedName name="listNAir" localSheetId="0">'[1]Certification Matrix'!$D$10:$D$38</definedName>
    <definedName name="listNAir">'Certification Matrix'!$D$11:$D$21</definedName>
    <definedName name="listNCommunity">'Certification Matrix'!$AF$11:$AF$29</definedName>
    <definedName name="listNFit" localSheetId="0">'[1]Certification Matrix'!$M$44:$M$51</definedName>
    <definedName name="listNFit">'Certification Matrix'!$M$24:$M$38</definedName>
    <definedName name="listNInnovation">'Certification Matrix'!$AF$34:$AF$37</definedName>
    <definedName name="listNLight" localSheetId="0">'[1]Certification Matrix'!$M$29:$M$39</definedName>
    <definedName name="listNLight">'Certification Matrix'!$M$11:$M$19</definedName>
    <definedName name="listNMaterial">'Certification Matrix'!$V$21:$V$27</definedName>
    <definedName name="listNMind" localSheetId="0">'[1]Certification Matrix'!$V$26:$V$44</definedName>
    <definedName name="listNMind">'Certification Matrix'!$V$32:$V$44</definedName>
    <definedName name="listNNourish" localSheetId="0">'[1]Certification Matrix'!$M$10:$M$24</definedName>
    <definedName name="listNNourish">'Certification Matrix'!$D$40:$D$50</definedName>
    <definedName name="listNSound">'Certification Matrix'!$V$11:$V$16</definedName>
    <definedName name="listNTemperature">'Certification Matrix'!$M$43:$M$51</definedName>
    <definedName name="listNWater" localSheetId="0">'[1]Certification Matrix'!$D$43:$D$50</definedName>
    <definedName name="listNWater">'Certification Matrix'!$D$26:$D$35</definedName>
    <definedName name="listqAir" localSheetId="0">'[1]Certification Matrix'!$C$10:$C$38</definedName>
    <definedName name="listqAir">'Certification Matrix'!$C$11:$C$21</definedName>
    <definedName name="listQCommunity">'Certification Matrix'!$AE$11:$AE$29</definedName>
    <definedName name="ListQFit" localSheetId="0">'[1]Certification Matrix'!$L$44:$L$51</definedName>
    <definedName name="ListQFit">'Certification Matrix'!$L$24:$L$38</definedName>
    <definedName name="listQInnovation">'Certification Matrix'!$AE$34:$AE$37</definedName>
    <definedName name="listQLight" localSheetId="0">'[1]Certification Matrix'!$L$29:$L$39</definedName>
    <definedName name="listQLight">'Certification Matrix'!$L$11:$L$19</definedName>
    <definedName name="listQMaterial">'Certification Matrix'!$U$21:$U$27</definedName>
    <definedName name="listQMind" localSheetId="0">'[1]Certification Matrix'!$U$26:$U$44</definedName>
    <definedName name="listQMind">'Certification Matrix'!$U$32:$U$44</definedName>
    <definedName name="listQNourish" localSheetId="0">'[1]Certification Matrix'!$L$10:$L$24</definedName>
    <definedName name="listQNourish">'Certification Matrix'!$C$40:$C$50</definedName>
    <definedName name="listQSound">'Certification Matrix'!$U$11:$U$16</definedName>
    <definedName name="listQTemperature">'Certification Matrix'!$L$43:$L$51</definedName>
    <definedName name="listQWater" localSheetId="0">'[1]Certification Matrix'!$C$43:$C$50</definedName>
    <definedName name="listQWater">'Certification Matrix'!$C$26:$C$35</definedName>
    <definedName name="listReqApp">'Project Checklist'!$E:$E</definedName>
    <definedName name="listReqCredits" localSheetId="0">'[1]Project Checklist'!$D:$D</definedName>
    <definedName name="listReqCredits">'Project Checklist'!$D:$D</definedName>
    <definedName name="listReqStatus">'Project Checklist'!$I:$I</definedName>
    <definedName name="listReqTypo">'Project Checklist'!$C:$C</definedName>
    <definedName name="listTypo" localSheetId="0">[1]Admin!$K$4:$K$6</definedName>
    <definedName name="listTypo">Admin!$I$4:$I$7</definedName>
    <definedName name="listYAir" localSheetId="0">'[1]Certification Matrix'!$B$10:$B$38</definedName>
    <definedName name="listYAir">'Certification Matrix'!$B$11:$B$21</definedName>
    <definedName name="listYCommunity">'Certification Matrix'!$AD$11:$AD$29</definedName>
    <definedName name="listYFit" localSheetId="0">'[1]Certification Matrix'!$K$44:$K$51</definedName>
    <definedName name="listYFit">'Certification Matrix'!$K$24:$K$38</definedName>
    <definedName name="listYInnovation">'Certification Matrix'!$AD$34:$AD$37</definedName>
    <definedName name="listYLight" localSheetId="0">'[1]Certification Matrix'!$K$29:$K$39</definedName>
    <definedName name="listYLight">'Certification Matrix'!$K$11:$K$19</definedName>
    <definedName name="listYMaterial">'Certification Matrix'!$T$21:$T$27</definedName>
    <definedName name="listYMind" localSheetId="0">'[1]Certification Matrix'!$T$26:$T$44</definedName>
    <definedName name="listYMind">'Certification Matrix'!$T$32:$T$44</definedName>
    <definedName name="listYNourish" localSheetId="0">'[1]Certification Matrix'!$K$10:$K$24</definedName>
    <definedName name="listYNourish">'Certification Matrix'!$B$40:$B$50</definedName>
    <definedName name="listYSound">'Certification Matrix'!$T$11:$T$16</definedName>
    <definedName name="listYTemperature">'Certification Matrix'!$K$43:$K$51</definedName>
    <definedName name="listYWater" localSheetId="0">'[1]Certification Matrix'!$B$43:$B$50</definedName>
    <definedName name="listYWater">'Certification Matrix'!$B$26:$B$35</definedName>
    <definedName name="points_achieved">Admin!$M$5</definedName>
    <definedName name="_xlnm.Print_Area" localSheetId="2">'Certification Matrix'!$A$2:$AC$65</definedName>
    <definedName name="_xlnm.Print_Area" localSheetId="1">'Project Checklist'!$A$2:$J$292</definedName>
    <definedName name="pursuing">Table4[Pursuing]</definedName>
    <definedName name="TblCredit" localSheetId="0">[1]Admin!$A$4:$F$105</definedName>
    <definedName name="TblCredit">Admin!$A$4:$D$117</definedName>
    <definedName name="TblTypo" localSheetId="0">[1]Admin!$K$4:$R$6</definedName>
    <definedName name="TblTypo">Admin!$I$4:$P$4</definedName>
    <definedName name="Yes">Admin!$I$12:$I$22</definedName>
  </definedNames>
  <calcPr calcId="17902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M20" i="18" l="1"/>
  <c r="M23" i="18"/>
  <c r="M24" i="18"/>
  <c r="M21" i="18"/>
  <c r="F22" i="19"/>
  <c r="E32" i="19"/>
  <c r="D32" i="19"/>
  <c r="D132" i="19"/>
  <c r="D234" i="19"/>
  <c r="F12" i="13"/>
  <c r="E12" i="13" s="1"/>
  <c r="G12" i="13"/>
  <c r="E34" i="19"/>
  <c r="F13" i="13"/>
  <c r="E13" i="13" s="1"/>
  <c r="G13" i="13"/>
  <c r="E37" i="19"/>
  <c r="F14" i="13"/>
  <c r="E14" i="13" s="1"/>
  <c r="G14" i="13"/>
  <c r="E40" i="19"/>
  <c r="F15" i="13"/>
  <c r="E15" i="13" s="1"/>
  <c r="G15" i="13"/>
  <c r="E43" i="19"/>
  <c r="F16" i="13"/>
  <c r="E16" i="13" s="1"/>
  <c r="G16" i="13"/>
  <c r="E46" i="19"/>
  <c r="F17" i="13"/>
  <c r="E17" i="13" s="1"/>
  <c r="G17" i="13"/>
  <c r="E49" i="19"/>
  <c r="F18" i="13"/>
  <c r="E18" i="13" s="1"/>
  <c r="G18" i="13"/>
  <c r="E51" i="19"/>
  <c r="F19" i="13"/>
  <c r="E19" i="13" s="1"/>
  <c r="G19" i="13"/>
  <c r="E54" i="19"/>
  <c r="F20" i="13"/>
  <c r="E20" i="13" s="1"/>
  <c r="G20" i="13"/>
  <c r="E57" i="19"/>
  <c r="F21" i="13"/>
  <c r="E21" i="13" s="1"/>
  <c r="G21" i="13"/>
  <c r="E304" i="19"/>
  <c r="AH12" i="13"/>
  <c r="AG12" i="13" s="1"/>
  <c r="AI12" i="13"/>
  <c r="E306" i="19"/>
  <c r="AH13" i="13"/>
  <c r="AG13" i="13" s="1"/>
  <c r="AI13" i="13"/>
  <c r="E309" i="19"/>
  <c r="AH14" i="13"/>
  <c r="AG14" i="13" s="1"/>
  <c r="AI14" i="13"/>
  <c r="E313" i="19"/>
  <c r="AH15" i="13"/>
  <c r="AG15" i="13" s="1"/>
  <c r="AI15" i="13"/>
  <c r="E315" i="19"/>
  <c r="AH16" i="13"/>
  <c r="AG16" i="13" s="1"/>
  <c r="AI16" i="13"/>
  <c r="E319" i="19"/>
  <c r="AH17" i="13"/>
  <c r="AG17" i="13" s="1"/>
  <c r="AI17" i="13"/>
  <c r="E323" i="19"/>
  <c r="AH18" i="13"/>
  <c r="AG18" i="13" s="1"/>
  <c r="AI18" i="13"/>
  <c r="E326" i="19"/>
  <c r="AH19" i="13"/>
  <c r="AG19" i="13" s="1"/>
  <c r="AI19" i="13"/>
  <c r="E328" i="19"/>
  <c r="AH20" i="13"/>
  <c r="AG20" i="13" s="1"/>
  <c r="AI20" i="13"/>
  <c r="E330" i="19"/>
  <c r="AH21" i="13"/>
  <c r="AG21" i="13" s="1"/>
  <c r="AI21" i="13"/>
  <c r="E334" i="19"/>
  <c r="AH22" i="13"/>
  <c r="AG22" i="13" s="1"/>
  <c r="AI22" i="13"/>
  <c r="E337" i="19"/>
  <c r="AH23" i="13"/>
  <c r="AG23" i="13" s="1"/>
  <c r="AI23" i="13"/>
  <c r="E340" i="19"/>
  <c r="AH24" i="13"/>
  <c r="AG24" i="13" s="1"/>
  <c r="AI24" i="13"/>
  <c r="E344" i="19"/>
  <c r="AH25" i="13"/>
  <c r="AG25" i="13" s="1"/>
  <c r="AI25" i="13"/>
  <c r="E347" i="19"/>
  <c r="AH26" i="13"/>
  <c r="AG26" i="13" s="1"/>
  <c r="AI26" i="13"/>
  <c r="E350" i="19"/>
  <c r="AH27" i="13"/>
  <c r="AG27" i="13" s="1"/>
  <c r="AI27" i="13"/>
  <c r="E353" i="19"/>
  <c r="AH28" i="13"/>
  <c r="AG28" i="13" s="1"/>
  <c r="AI28" i="13"/>
  <c r="E355" i="19"/>
  <c r="AH29" i="13"/>
  <c r="AG29" i="13" s="1"/>
  <c r="AI29" i="13"/>
  <c r="E132" i="19"/>
  <c r="O12" i="13"/>
  <c r="N12" i="13" s="1"/>
  <c r="P12" i="13"/>
  <c r="E134" i="19"/>
  <c r="O13" i="13"/>
  <c r="N13" i="13" s="1"/>
  <c r="P13" i="13"/>
  <c r="E137" i="19"/>
  <c r="O14" i="13"/>
  <c r="N14" i="13" s="1"/>
  <c r="P14" i="13"/>
  <c r="E141" i="19"/>
  <c r="O15" i="13"/>
  <c r="N15" i="13" s="1"/>
  <c r="P15" i="13"/>
  <c r="E144" i="19"/>
  <c r="O16" i="13"/>
  <c r="N16" i="13" s="1"/>
  <c r="P16" i="13"/>
  <c r="E150" i="19"/>
  <c r="O17" i="13"/>
  <c r="N17" i="13" s="1"/>
  <c r="P17" i="13"/>
  <c r="E154" i="19"/>
  <c r="O18" i="13"/>
  <c r="N18" i="13" s="1"/>
  <c r="P18" i="13"/>
  <c r="E156" i="19"/>
  <c r="O19" i="13"/>
  <c r="N19" i="13" s="1"/>
  <c r="P19" i="13"/>
  <c r="E234" i="19"/>
  <c r="X12" i="13"/>
  <c r="W12" i="13" s="1"/>
  <c r="Y12" i="13"/>
  <c r="E236" i="19"/>
  <c r="X13" i="13"/>
  <c r="W13" i="13" s="1"/>
  <c r="Y13" i="13"/>
  <c r="E238" i="19"/>
  <c r="X14" i="13"/>
  <c r="W14" i="13" s="1"/>
  <c r="Y14" i="13"/>
  <c r="E240" i="19"/>
  <c r="X15" i="13"/>
  <c r="W15" i="13" s="1"/>
  <c r="Y15" i="13"/>
  <c r="E242" i="19"/>
  <c r="X16" i="13"/>
  <c r="W16" i="13" s="1"/>
  <c r="Y16" i="13"/>
  <c r="E247" i="19"/>
  <c r="X22" i="13"/>
  <c r="W22" i="13" s="1"/>
  <c r="Y22" i="13"/>
  <c r="E249" i="19"/>
  <c r="X23" i="13"/>
  <c r="W23" i="13" s="1"/>
  <c r="Y23" i="13"/>
  <c r="E251" i="19"/>
  <c r="X24" i="13"/>
  <c r="W24" i="13" s="1"/>
  <c r="Y24" i="13"/>
  <c r="E256" i="19"/>
  <c r="X25" i="13"/>
  <c r="W25" i="13" s="1"/>
  <c r="Y25" i="13"/>
  <c r="E260" i="19"/>
  <c r="X26" i="13"/>
  <c r="W26" i="13" s="1"/>
  <c r="Y26" i="13"/>
  <c r="E262" i="19"/>
  <c r="X27" i="13"/>
  <c r="W27" i="13" s="1"/>
  <c r="Y27" i="13"/>
  <c r="E268" i="19"/>
  <c r="X33" i="13"/>
  <c r="W33" i="13" s="1"/>
  <c r="Y33" i="13"/>
  <c r="E272" i="19"/>
  <c r="X34" i="13"/>
  <c r="W34" i="13" s="1"/>
  <c r="Y34" i="13"/>
  <c r="E274" i="19"/>
  <c r="X35" i="13"/>
  <c r="W35" i="13" s="1"/>
  <c r="Y35" i="13"/>
  <c r="E276" i="19"/>
  <c r="X36" i="13"/>
  <c r="W36" i="13" s="1"/>
  <c r="Y36" i="13"/>
  <c r="E278" i="19"/>
  <c r="I278" i="19" s="1"/>
  <c r="X37" i="13"/>
  <c r="W37" i="13" s="1"/>
  <c r="Y37" i="13"/>
  <c r="E280" i="19"/>
  <c r="X38" i="13"/>
  <c r="W38" i="13" s="1"/>
  <c r="Y38" i="13"/>
  <c r="E282" i="19"/>
  <c r="X39" i="13"/>
  <c r="W39" i="13" s="1"/>
  <c r="Y39" i="13"/>
  <c r="E285" i="19"/>
  <c r="X40" i="13"/>
  <c r="W40" i="13" s="1"/>
  <c r="Y40" i="13"/>
  <c r="E288" i="19"/>
  <c r="X41" i="13"/>
  <c r="W41" i="13" s="1"/>
  <c r="Y41" i="13"/>
  <c r="E292" i="19"/>
  <c r="X42" i="13"/>
  <c r="W42" i="13" s="1"/>
  <c r="Y42" i="13"/>
  <c r="E295" i="19"/>
  <c r="X43" i="13"/>
  <c r="W43" i="13" s="1"/>
  <c r="Y43" i="13"/>
  <c r="E299" i="19"/>
  <c r="X44" i="13"/>
  <c r="W44" i="13" s="1"/>
  <c r="Y44" i="13"/>
  <c r="E162" i="19"/>
  <c r="O25" i="13"/>
  <c r="N25" i="13" s="1"/>
  <c r="P25" i="13"/>
  <c r="E165" i="19"/>
  <c r="O26" i="13"/>
  <c r="N26" i="13" s="1"/>
  <c r="P26" i="13"/>
  <c r="E170" i="19"/>
  <c r="O27" i="13"/>
  <c r="N27" i="13" s="1"/>
  <c r="P27" i="13"/>
  <c r="E174" i="19"/>
  <c r="O28" i="13"/>
  <c r="N28" i="13" s="1"/>
  <c r="P28" i="13"/>
  <c r="E176" i="19"/>
  <c r="O29" i="13"/>
  <c r="N29" i="13" s="1"/>
  <c r="P29" i="13"/>
  <c r="E180" i="19"/>
  <c r="O30" i="13"/>
  <c r="N30" i="13" s="1"/>
  <c r="P30" i="13"/>
  <c r="E184" i="19"/>
  <c r="O31" i="13"/>
  <c r="N31" i="13" s="1"/>
  <c r="P31" i="13"/>
  <c r="E186" i="19"/>
  <c r="O32" i="13"/>
  <c r="N32" i="13" s="1"/>
  <c r="P32" i="13"/>
  <c r="E189" i="19"/>
  <c r="O33" i="13"/>
  <c r="N33" i="13" s="1"/>
  <c r="P33" i="13"/>
  <c r="E191" i="19"/>
  <c r="O34" i="13"/>
  <c r="N34" i="13" s="1"/>
  <c r="P34" i="13"/>
  <c r="E194" i="19"/>
  <c r="O35" i="13"/>
  <c r="N35" i="13" s="1"/>
  <c r="P35" i="13"/>
  <c r="E197" i="19"/>
  <c r="O36" i="13"/>
  <c r="N36" i="13" s="1"/>
  <c r="P36" i="13"/>
  <c r="E200" i="19"/>
  <c r="I200" i="19" s="1"/>
  <c r="O37" i="13"/>
  <c r="N37" i="13" s="1"/>
  <c r="P37" i="13"/>
  <c r="E202" i="19"/>
  <c r="O38" i="13"/>
  <c r="N38" i="13" s="1"/>
  <c r="P38" i="13"/>
  <c r="E67" i="19"/>
  <c r="F27" i="13"/>
  <c r="E27" i="13" s="1"/>
  <c r="G27" i="13"/>
  <c r="E71" i="19"/>
  <c r="F28" i="13"/>
  <c r="E28" i="13" s="1"/>
  <c r="G28" i="13"/>
  <c r="E76" i="19"/>
  <c r="F29" i="13"/>
  <c r="E29" i="13" s="1"/>
  <c r="G29" i="13"/>
  <c r="E78" i="19"/>
  <c r="F30" i="13"/>
  <c r="E30" i="13" s="1"/>
  <c r="G30" i="13"/>
  <c r="E82" i="19"/>
  <c r="F31" i="13"/>
  <c r="E31" i="13" s="1"/>
  <c r="G31" i="13"/>
  <c r="E88" i="19"/>
  <c r="F32" i="13"/>
  <c r="E32" i="13" s="1"/>
  <c r="G32" i="13"/>
  <c r="E93" i="19"/>
  <c r="F33" i="13"/>
  <c r="E33" i="13" s="1"/>
  <c r="G33" i="13"/>
  <c r="E96" i="19"/>
  <c r="F34" i="13"/>
  <c r="E34" i="13" s="1"/>
  <c r="G34" i="13"/>
  <c r="E98" i="19"/>
  <c r="F35" i="13"/>
  <c r="E35" i="13" s="1"/>
  <c r="G35" i="13"/>
  <c r="E208" i="19"/>
  <c r="O44" i="13"/>
  <c r="N44" i="13" s="1"/>
  <c r="P44" i="13"/>
  <c r="E211" i="19"/>
  <c r="O45" i="13"/>
  <c r="N45" i="13" s="1"/>
  <c r="P45" i="13"/>
  <c r="E214" i="19"/>
  <c r="O46" i="13"/>
  <c r="N46" i="13" s="1"/>
  <c r="P46" i="13"/>
  <c r="E217" i="19"/>
  <c r="O47" i="13"/>
  <c r="N47" i="13"/>
  <c r="P47" i="13"/>
  <c r="E220" i="19"/>
  <c r="O48" i="13"/>
  <c r="N48" i="13"/>
  <c r="P48" i="13"/>
  <c r="E224" i="19"/>
  <c r="O49" i="13"/>
  <c r="N49" i="13"/>
  <c r="P49" i="13"/>
  <c r="E227" i="19"/>
  <c r="O50" i="13"/>
  <c r="N50" i="13"/>
  <c r="P50" i="13"/>
  <c r="E229" i="19"/>
  <c r="O51" i="13"/>
  <c r="N51" i="13"/>
  <c r="P51" i="13"/>
  <c r="E103" i="19"/>
  <c r="F41" i="13"/>
  <c r="E41" i="13"/>
  <c r="G41" i="13"/>
  <c r="E105" i="19"/>
  <c r="F42" i="13"/>
  <c r="E42" i="13"/>
  <c r="G42" i="13"/>
  <c r="E108" i="19"/>
  <c r="F43" i="13"/>
  <c r="E43" i="13"/>
  <c r="G43" i="13"/>
  <c r="E110" i="19"/>
  <c r="F44" i="13"/>
  <c r="E44" i="13"/>
  <c r="G44" i="13"/>
  <c r="E113" i="19"/>
  <c r="F45" i="13"/>
  <c r="E45" i="13"/>
  <c r="G45" i="13"/>
  <c r="E116" i="19"/>
  <c r="F46" i="13"/>
  <c r="E46" i="13"/>
  <c r="G46" i="13"/>
  <c r="E118" i="19"/>
  <c r="F47" i="13"/>
  <c r="E47" i="13"/>
  <c r="G47" i="13"/>
  <c r="E121" i="19"/>
  <c r="F48" i="13"/>
  <c r="E48" i="13"/>
  <c r="G48" i="13"/>
  <c r="E124" i="19"/>
  <c r="F49" i="13"/>
  <c r="E49" i="13"/>
  <c r="G49" i="13"/>
  <c r="E126" i="19"/>
  <c r="F50" i="13"/>
  <c r="E50" i="13"/>
  <c r="G50" i="13"/>
  <c r="E60" i="19"/>
  <c r="F26" i="13"/>
  <c r="E26" i="13"/>
  <c r="G26" i="13"/>
  <c r="E100" i="19"/>
  <c r="F40" i="13"/>
  <c r="E40" i="13"/>
  <c r="G40" i="13"/>
  <c r="E129" i="19"/>
  <c r="O11" i="13"/>
  <c r="N11" i="13"/>
  <c r="P11" i="13"/>
  <c r="E160" i="19"/>
  <c r="O24" i="13"/>
  <c r="N24" i="13"/>
  <c r="P24" i="13"/>
  <c r="E204" i="19"/>
  <c r="O43" i="13"/>
  <c r="N43" i="13"/>
  <c r="P43" i="13"/>
  <c r="E232" i="19"/>
  <c r="X11" i="13"/>
  <c r="W11" i="13"/>
  <c r="Y11" i="13"/>
  <c r="E245" i="19"/>
  <c r="X21" i="13"/>
  <c r="W21" i="13"/>
  <c r="Y21" i="13"/>
  <c r="E265" i="19"/>
  <c r="X32" i="13"/>
  <c r="W32" i="13"/>
  <c r="Y32" i="13"/>
  <c r="E302" i="19"/>
  <c r="AH11" i="13"/>
  <c r="AG11" i="13"/>
  <c r="AI11" i="13"/>
  <c r="E358" i="19"/>
  <c r="E360" i="19"/>
  <c r="E362" i="19"/>
  <c r="E365" i="19"/>
  <c r="F11" i="13"/>
  <c r="E11" i="13" s="1"/>
  <c r="M4" i="18"/>
  <c r="J359" i="19"/>
  <c r="J366" i="19"/>
  <c r="E28" i="19"/>
  <c r="AH35" i="13"/>
  <c r="AG35" i="13" s="1"/>
  <c r="AH36" i="13"/>
  <c r="AG36" i="13" s="1"/>
  <c r="AH37" i="13"/>
  <c r="AG37" i="13" s="1"/>
  <c r="AH34" i="13"/>
  <c r="AG34" i="13" s="1"/>
  <c r="AI34" i="13"/>
  <c r="AI35" i="13"/>
  <c r="AI37" i="13"/>
  <c r="W55" i="13"/>
  <c r="AI36" i="13"/>
  <c r="G11" i="13"/>
  <c r="E354" i="19"/>
  <c r="E356" i="19"/>
  <c r="E357" i="19"/>
  <c r="E359" i="19"/>
  <c r="E361" i="19"/>
  <c r="E363" i="19"/>
  <c r="E364" i="19"/>
  <c r="E366" i="19"/>
  <c r="D5" i="13"/>
  <c r="D6" i="13"/>
  <c r="D7" i="13"/>
  <c r="D4" i="13"/>
  <c r="D61" i="13"/>
  <c r="I28" i="19"/>
  <c r="D11" i="13"/>
  <c r="M7" i="18"/>
  <c r="P62" i="13"/>
  <c r="E20" i="19"/>
  <c r="E21" i="19"/>
  <c r="B11" i="13"/>
  <c r="C11" i="13"/>
  <c r="AD42" i="13"/>
  <c r="AD44" i="13" s="1"/>
  <c r="E26" i="19"/>
  <c r="AD43" i="13"/>
  <c r="I260" i="19"/>
  <c r="U26" i="13" s="1"/>
  <c r="D236" i="19"/>
  <c r="I202" i="19" s="1"/>
  <c r="I214" i="19"/>
  <c r="L46" i="13" s="1"/>
  <c r="I355" i="19"/>
  <c r="AD29" i="13" s="1"/>
  <c r="I315" i="19"/>
  <c r="I186" i="19"/>
  <c r="I110" i="19"/>
  <c r="B44" i="13" s="1"/>
  <c r="I82" i="19"/>
  <c r="I103" i="19"/>
  <c r="C41" i="13" s="1"/>
  <c r="I245" i="19"/>
  <c r="V21" i="13" s="1"/>
  <c r="I37" i="19"/>
  <c r="I156" i="19"/>
  <c r="L19" i="13" s="1"/>
  <c r="I295" i="19"/>
  <c r="I262" i="19"/>
  <c r="V27" i="13" s="1"/>
  <c r="I309" i="19"/>
  <c r="I121" i="19"/>
  <c r="D48" i="13" s="1"/>
  <c r="I98" i="19"/>
  <c r="I150" i="19"/>
  <c r="I124" i="19"/>
  <c r="C49" i="13" s="1"/>
  <c r="I197" i="19"/>
  <c r="I227" i="19"/>
  <c r="I232" i="19"/>
  <c r="I256" i="19"/>
  <c r="T25" i="13" s="1"/>
  <c r="I184" i="19"/>
  <c r="I137" i="19"/>
  <c r="I319" i="19"/>
  <c r="I272" i="19"/>
  <c r="V34" i="13" s="1"/>
  <c r="I280" i="19"/>
  <c r="I340" i="19"/>
  <c r="I54" i="19"/>
  <c r="I160" i="19"/>
  <c r="M24" i="13" s="1"/>
  <c r="I217" i="19"/>
  <c r="M47" i="13" s="1"/>
  <c r="I194" i="19"/>
  <c r="I247" i="19"/>
  <c r="T22" i="13" s="1"/>
  <c r="M50" i="13"/>
  <c r="M46" i="13"/>
  <c r="I129" i="19"/>
  <c r="K11" i="13" s="1"/>
  <c r="I100" i="19"/>
  <c r="B40" i="13" s="1"/>
  <c r="I126" i="19"/>
  <c r="C50" i="13" s="1"/>
  <c r="I116" i="19"/>
  <c r="D46" i="13" s="1"/>
  <c r="I113" i="19"/>
  <c r="C45" i="13"/>
  <c r="I105" i="19"/>
  <c r="B42" i="13" s="1"/>
  <c r="I88" i="19"/>
  <c r="B32" i="13" s="1"/>
  <c r="I96" i="19"/>
  <c r="I132" i="19"/>
  <c r="M12" i="13" s="1"/>
  <c r="I334" i="19"/>
  <c r="AF22" i="13" s="1"/>
  <c r="I134" i="19"/>
  <c r="K13" i="13" s="1"/>
  <c r="I43" i="19"/>
  <c r="C16" i="13" s="1"/>
  <c r="I251" i="19"/>
  <c r="T24" i="13" s="1"/>
  <c r="I242" i="19"/>
  <c r="I144" i="19"/>
  <c r="I344" i="19"/>
  <c r="AF25" i="13" s="1"/>
  <c r="I323" i="19"/>
  <c r="AE18" i="13" s="1"/>
  <c r="I306" i="19"/>
  <c r="I46" i="19"/>
  <c r="I93" i="19"/>
  <c r="C33" i="13" s="1"/>
  <c r="I76" i="19"/>
  <c r="D29" i="13" s="1"/>
  <c r="I285" i="19"/>
  <c r="I249" i="19"/>
  <c r="I154" i="19"/>
  <c r="M18" i="13" s="1"/>
  <c r="I353" i="19"/>
  <c r="AD28" i="13" s="1"/>
  <c r="I347" i="19"/>
  <c r="AE26" i="13" s="1"/>
  <c r="I313" i="19"/>
  <c r="AF15" i="13" s="1"/>
  <c r="I328" i="19"/>
  <c r="AD20" i="13" s="1"/>
  <c r="K36" i="13"/>
  <c r="T16" i="13"/>
  <c r="AD16" i="13"/>
  <c r="I362" i="19"/>
  <c r="AE36" i="13" s="1"/>
  <c r="B45" i="13"/>
  <c r="I224" i="19"/>
  <c r="M49" i="13" s="1"/>
  <c r="I211" i="19"/>
  <c r="L45" i="13"/>
  <c r="I208" i="19"/>
  <c r="L44" i="13" s="1"/>
  <c r="I162" i="19"/>
  <c r="L25" i="13" s="1"/>
  <c r="I165" i="19"/>
  <c r="L26" i="13" s="1"/>
  <c r="L49" i="13"/>
  <c r="AD26" i="13"/>
  <c r="AF26" i="13"/>
  <c r="U40" i="13"/>
  <c r="T40" i="13"/>
  <c r="V40" i="13"/>
  <c r="AE13" i="13"/>
  <c r="AD13" i="13"/>
  <c r="AF13" i="13"/>
  <c r="V16" i="13"/>
  <c r="U16" i="13"/>
  <c r="AD22" i="13"/>
  <c r="AE22" i="13"/>
  <c r="D42" i="13"/>
  <c r="C40" i="13"/>
  <c r="L35" i="13"/>
  <c r="M35" i="13"/>
  <c r="K35" i="13"/>
  <c r="AE24" i="13"/>
  <c r="AD24" i="13"/>
  <c r="AF24" i="13"/>
  <c r="M14" i="13"/>
  <c r="K14" i="13"/>
  <c r="L14" i="13"/>
  <c r="K50" i="13"/>
  <c r="L50" i="13"/>
  <c r="AD14" i="13"/>
  <c r="AF14" i="13"/>
  <c r="AE14" i="13"/>
  <c r="V43" i="13"/>
  <c r="T43" i="13"/>
  <c r="U43" i="13"/>
  <c r="C14" i="13"/>
  <c r="B14" i="13"/>
  <c r="D14" i="13"/>
  <c r="V26" i="13"/>
  <c r="K25" i="13"/>
  <c r="I189" i="19"/>
  <c r="K33" i="13" s="1"/>
  <c r="K45" i="13"/>
  <c r="I60" i="19"/>
  <c r="AD15" i="13"/>
  <c r="AE15" i="13"/>
  <c r="AE28" i="13"/>
  <c r="B29" i="13"/>
  <c r="AF18" i="13"/>
  <c r="V24" i="13"/>
  <c r="U24" i="13"/>
  <c r="K12" i="13"/>
  <c r="M11" i="13"/>
  <c r="L11" i="13"/>
  <c r="L47" i="13"/>
  <c r="K47" i="13"/>
  <c r="U38" i="13"/>
  <c r="V38" i="13"/>
  <c r="T38" i="13"/>
  <c r="K31" i="13"/>
  <c r="M31" i="13"/>
  <c r="L31" i="13"/>
  <c r="L36" i="13"/>
  <c r="M36" i="13"/>
  <c r="D35" i="13"/>
  <c r="C35" i="13"/>
  <c r="B35" i="13"/>
  <c r="U27" i="13"/>
  <c r="M19" i="13"/>
  <c r="AE16" i="13"/>
  <c r="AF16" i="13"/>
  <c r="K26" i="13"/>
  <c r="M26" i="13"/>
  <c r="I191" i="19"/>
  <c r="K34" i="13" s="1"/>
  <c r="M45" i="13"/>
  <c r="I204" i="19"/>
  <c r="D33" i="13"/>
  <c r="AE25" i="13"/>
  <c r="B34" i="13"/>
  <c r="D34" i="13"/>
  <c r="C34" i="13"/>
  <c r="B46" i="13"/>
  <c r="C46" i="13"/>
  <c r="K24" i="13"/>
  <c r="T34" i="13"/>
  <c r="U34" i="13"/>
  <c r="V25" i="13"/>
  <c r="U25" i="13"/>
  <c r="B48" i="13"/>
  <c r="C48" i="13"/>
  <c r="B31" i="13"/>
  <c r="C31" i="13"/>
  <c r="D31" i="13"/>
  <c r="L32" i="13"/>
  <c r="M32" i="13"/>
  <c r="K32" i="13"/>
  <c r="AE29" i="13"/>
  <c r="I174" i="19"/>
  <c r="L28" i="13" s="1"/>
  <c r="T23" i="13"/>
  <c r="U23" i="13"/>
  <c r="V23" i="13"/>
  <c r="D17" i="13"/>
  <c r="B17" i="13"/>
  <c r="C17" i="13"/>
  <c r="K16" i="13"/>
  <c r="M16" i="13"/>
  <c r="L16" i="13"/>
  <c r="L13" i="13"/>
  <c r="M13" i="13"/>
  <c r="D32" i="13"/>
  <c r="B50" i="13"/>
  <c r="D50" i="13"/>
  <c r="D45" i="13"/>
  <c r="U22" i="13"/>
  <c r="U28" i="13" s="1"/>
  <c r="V22" i="13"/>
  <c r="B20" i="13"/>
  <c r="D20" i="13"/>
  <c r="C20" i="13"/>
  <c r="AF17" i="13"/>
  <c r="AD17" i="13"/>
  <c r="AE17" i="13"/>
  <c r="V11" i="13"/>
  <c r="T11" i="13"/>
  <c r="U11" i="13"/>
  <c r="K17" i="13"/>
  <c r="L17" i="13"/>
  <c r="M17" i="13"/>
  <c r="D41" i="13"/>
  <c r="D44" i="13"/>
  <c r="I236" i="19"/>
  <c r="T13" i="13" s="1"/>
  <c r="I302" i="19"/>
  <c r="AD11" i="13" s="1"/>
  <c r="I330" i="19"/>
  <c r="I141" i="19"/>
  <c r="I268" i="19"/>
  <c r="V33" i="13" s="1"/>
  <c r="I326" i="19"/>
  <c r="AD19" i="13" s="1"/>
  <c r="I32" i="19"/>
  <c r="I40" i="19"/>
  <c r="D15" i="13" s="1"/>
  <c r="I299" i="19"/>
  <c r="U44" i="13" s="1"/>
  <c r="I220" i="19"/>
  <c r="K48" i="13" s="1"/>
  <c r="I365" i="19"/>
  <c r="I304" i="19"/>
  <c r="AF12" i="13" s="1"/>
  <c r="I229" i="19"/>
  <c r="K51" i="13" s="1"/>
  <c r="I34" i="19"/>
  <c r="C13" i="13" s="1"/>
  <c r="I78" i="19"/>
  <c r="I238" i="19"/>
  <c r="V14" i="13" s="1"/>
  <c r="I51" i="19"/>
  <c r="D19" i="13" s="1"/>
  <c r="I282" i="19"/>
  <c r="T39" i="13" s="1"/>
  <c r="I180" i="19"/>
  <c r="I71" i="19"/>
  <c r="D28" i="13" s="1"/>
  <c r="I118" i="19"/>
  <c r="B47" i="13" s="1"/>
  <c r="I67" i="19"/>
  <c r="B27" i="13" s="1"/>
  <c r="AE37" i="13"/>
  <c r="AD37" i="13"/>
  <c r="D12" i="13"/>
  <c r="B12" i="13"/>
  <c r="C12" i="13"/>
  <c r="AF21" i="13"/>
  <c r="AD21" i="13"/>
  <c r="AE21" i="13"/>
  <c r="C30" i="13"/>
  <c r="B30" i="13"/>
  <c r="D30" i="13"/>
  <c r="AF19" i="13"/>
  <c r="AE11" i="13"/>
  <c r="M43" i="13"/>
  <c r="L43" i="13"/>
  <c r="K43" i="13"/>
  <c r="D26" i="13"/>
  <c r="C26" i="13"/>
  <c r="B26" i="13"/>
  <c r="M30" i="13"/>
  <c r="L30" i="13"/>
  <c r="K30" i="13"/>
  <c r="T44" i="13"/>
  <c r="U13" i="13"/>
  <c r="U39" i="13"/>
  <c r="B28" i="13"/>
  <c r="T14" i="13"/>
  <c r="U14" i="13"/>
  <c r="AD12" i="13"/>
  <c r="AE12" i="13"/>
  <c r="C15" i="13"/>
  <c r="B15" i="13"/>
  <c r="L15" i="13"/>
  <c r="K15" i="13"/>
  <c r="M15" i="13"/>
  <c r="L34" i="13"/>
  <c r="M33" i="13"/>
  <c r="L33" i="13"/>
  <c r="C47" i="13" l="1"/>
  <c r="V13" i="13"/>
  <c r="C19" i="13"/>
  <c r="AF36" i="13"/>
  <c r="L51" i="13"/>
  <c r="C27" i="13"/>
  <c r="C28" i="13"/>
  <c r="T33" i="13"/>
  <c r="B19" i="13"/>
  <c r="AD36" i="13"/>
  <c r="AF28" i="13"/>
  <c r="V28" i="13"/>
  <c r="M44" i="13"/>
  <c r="AF37" i="13"/>
  <c r="M20" i="13"/>
  <c r="L38" i="13"/>
  <c r="K38" i="13"/>
  <c r="M38" i="13"/>
  <c r="T56" i="13"/>
  <c r="W54" i="13"/>
  <c r="W53" i="13"/>
  <c r="M37" i="13"/>
  <c r="K37" i="13"/>
  <c r="L37" i="13"/>
  <c r="T37" i="13"/>
  <c r="V37" i="13"/>
  <c r="U37" i="13"/>
  <c r="M28" i="13"/>
  <c r="L48" i="13"/>
  <c r="L52" i="13" s="1"/>
  <c r="M34" i="13"/>
  <c r="V39" i="13"/>
  <c r="U33" i="13"/>
  <c r="V44" i="13"/>
  <c r="M51" i="13"/>
  <c r="D27" i="13"/>
  <c r="D36" i="13" s="1"/>
  <c r="K28" i="13"/>
  <c r="AF11" i="13"/>
  <c r="M48" i="13"/>
  <c r="M52" i="13" s="1"/>
  <c r="B13" i="13"/>
  <c r="C44" i="13"/>
  <c r="B41" i="13"/>
  <c r="AF29" i="13"/>
  <c r="B49" i="13"/>
  <c r="L24" i="13"/>
  <c r="AD25" i="13"/>
  <c r="B33" i="13"/>
  <c r="B36" i="13" s="1"/>
  <c r="AE20" i="13"/>
  <c r="U21" i="13"/>
  <c r="K19" i="13"/>
  <c r="L12" i="13"/>
  <c r="AD18" i="13"/>
  <c r="C29" i="13"/>
  <c r="T26" i="13"/>
  <c r="C42" i="13"/>
  <c r="K49" i="13"/>
  <c r="B16" i="13"/>
  <c r="K46" i="13"/>
  <c r="I360" i="19"/>
  <c r="AF35" i="13" s="1"/>
  <c r="I292" i="19"/>
  <c r="I350" i="19"/>
  <c r="I49" i="19"/>
  <c r="I265" i="19"/>
  <c r="I176" i="19"/>
  <c r="I234" i="19"/>
  <c r="I276" i="19"/>
  <c r="D47" i="13"/>
  <c r="AE19" i="13"/>
  <c r="D13" i="13"/>
  <c r="L18" i="13"/>
  <c r="M25" i="13"/>
  <c r="K44" i="13"/>
  <c r="K52" i="13" s="1"/>
  <c r="C32" i="13"/>
  <c r="D49" i="13"/>
  <c r="D16" i="13"/>
  <c r="K18" i="13"/>
  <c r="K20" i="13" s="1"/>
  <c r="AF20" i="13"/>
  <c r="T21" i="13"/>
  <c r="T27" i="13"/>
  <c r="D40" i="13"/>
  <c r="I170" i="19"/>
  <c r="I57" i="19"/>
  <c r="I337" i="19"/>
  <c r="I358" i="19"/>
  <c r="AF34" i="13" s="1"/>
  <c r="I108" i="19"/>
  <c r="I288" i="19"/>
  <c r="I240" i="19"/>
  <c r="I274" i="19"/>
  <c r="I31" i="19" l="1"/>
  <c r="I30" i="19" s="1"/>
  <c r="T28" i="13"/>
  <c r="C36" i="13"/>
  <c r="AD27" i="13"/>
  <c r="AF27" i="13"/>
  <c r="AE27" i="13"/>
  <c r="AF38" i="13"/>
  <c r="V55" i="13" s="1"/>
  <c r="AE34" i="13"/>
  <c r="AD34" i="13"/>
  <c r="K29" i="13"/>
  <c r="L29" i="13"/>
  <c r="M29" i="13"/>
  <c r="T42" i="13"/>
  <c r="U42" i="13"/>
  <c r="V42" i="13"/>
  <c r="K27" i="13"/>
  <c r="M27" i="13"/>
  <c r="L27" i="13"/>
  <c r="L39" i="13" s="1"/>
  <c r="V35" i="13"/>
  <c r="T35" i="13"/>
  <c r="U35" i="13"/>
  <c r="AE23" i="13"/>
  <c r="AE30" i="13" s="1"/>
  <c r="AD23" i="13"/>
  <c r="AD30" i="13" s="1"/>
  <c r="AF23" i="13"/>
  <c r="AF30" i="13" s="1"/>
  <c r="T32" i="13"/>
  <c r="U32" i="13"/>
  <c r="V32" i="13"/>
  <c r="AE35" i="13"/>
  <c r="AD35" i="13"/>
  <c r="L20" i="13"/>
  <c r="C43" i="13"/>
  <c r="C51" i="13" s="1"/>
  <c r="B43" i="13"/>
  <c r="D43" i="13"/>
  <c r="D51" i="13" s="1"/>
  <c r="V12" i="13"/>
  <c r="V17" i="13" s="1"/>
  <c r="T12" i="13"/>
  <c r="U12" i="13"/>
  <c r="V15" i="13"/>
  <c r="T15" i="13"/>
  <c r="U15" i="13"/>
  <c r="T41" i="13"/>
  <c r="V41" i="13"/>
  <c r="U41" i="13"/>
  <c r="B21" i="13"/>
  <c r="D21" i="13"/>
  <c r="D22" i="13" s="1"/>
  <c r="C21" i="13"/>
  <c r="T36" i="13"/>
  <c r="U36" i="13"/>
  <c r="V36" i="13"/>
  <c r="D18" i="13"/>
  <c r="B18" i="13"/>
  <c r="T53" i="13" s="1"/>
  <c r="C18" i="13"/>
  <c r="B51" i="13"/>
  <c r="U45" i="13" l="1"/>
  <c r="V54" i="13"/>
  <c r="K39" i="13"/>
  <c r="M39" i="13"/>
  <c r="U17" i="13"/>
  <c r="T54" i="13"/>
  <c r="T45" i="13"/>
  <c r="U54" i="13"/>
  <c r="U53" i="13"/>
  <c r="P61" i="13" s="1"/>
  <c r="M6" i="18" s="1"/>
  <c r="C22" i="13"/>
  <c r="T17" i="13"/>
  <c r="V45" i="13"/>
  <c r="B22" i="13"/>
  <c r="V53" i="13"/>
  <c r="AD38" i="13"/>
  <c r="T55" i="13" s="1"/>
  <c r="AE38" i="13"/>
  <c r="U55" i="13" s="1"/>
  <c r="J7" i="18" l="1"/>
  <c r="M5" i="18"/>
  <c r="J8" i="18"/>
  <c r="J9" i="18" s="1"/>
  <c r="T62" i="13" s="1"/>
  <c r="L4" i="18" l="1"/>
  <c r="D62" i="13" s="1"/>
  <c r="M8" i="18"/>
</calcChain>
</file>

<file path=xl/sharedStrings.xml><?xml version="1.0" encoding="utf-8"?>
<sst xmlns="http://schemas.openxmlformats.org/spreadsheetml/2006/main" count="1563" uniqueCount="968">
  <si>
    <t>AIR</t>
  </si>
  <si>
    <t>WATER</t>
  </si>
  <si>
    <t>NOURISHMENT</t>
  </si>
  <si>
    <t>LIGHT</t>
  </si>
  <si>
    <t>MIND</t>
  </si>
  <si>
    <t>P</t>
  </si>
  <si>
    <t>O</t>
  </si>
  <si>
    <t>Periodic Water Quality Testing</t>
  </si>
  <si>
    <t>Physical Activity Spaces</t>
  </si>
  <si>
    <t>Post-Occupancy Surveys</t>
  </si>
  <si>
    <t>Y</t>
  </si>
  <si>
    <t>Notes</t>
  </si>
  <si>
    <t>?</t>
  </si>
  <si>
    <t>N</t>
  </si>
  <si>
    <t>SUMMARY</t>
  </si>
  <si>
    <t>Air</t>
  </si>
  <si>
    <t>Water</t>
  </si>
  <si>
    <t>Nourishment</t>
  </si>
  <si>
    <t>Light</t>
  </si>
  <si>
    <t>Fitness</t>
  </si>
  <si>
    <t>Mind</t>
  </si>
  <si>
    <t>Desc</t>
  </si>
  <si>
    <t>Concept</t>
  </si>
  <si>
    <t>NumID</t>
  </si>
  <si>
    <t>Credit Applicability Table</t>
  </si>
  <si>
    <t>TblCredit</t>
  </si>
  <si>
    <t>Name</t>
  </si>
  <si>
    <t>VarName</t>
  </si>
  <si>
    <t>Platinum</t>
  </si>
  <si>
    <t>Silver</t>
  </si>
  <si>
    <t>Gold</t>
  </si>
  <si>
    <t>Typology</t>
  </si>
  <si>
    <t>Typology Table</t>
  </si>
  <si>
    <t>TblTypo</t>
  </si>
  <si>
    <t>Pre Req's</t>
  </si>
  <si>
    <t>Opt Req's</t>
  </si>
  <si>
    <t>Must meet all preconditions.</t>
  </si>
  <si>
    <t>Preconditions</t>
  </si>
  <si>
    <t>Results</t>
  </si>
  <si>
    <t>Requirements</t>
  </si>
  <si>
    <t>Performance Test</t>
  </si>
  <si>
    <t>Policy Document</t>
  </si>
  <si>
    <t>ctrlTypo:</t>
  </si>
  <si>
    <t>CONCEPT</t>
  </si>
  <si>
    <t>FEATURE</t>
  </si>
  <si>
    <t>APPLICABILITY</t>
  </si>
  <si>
    <t>Pursuing</t>
  </si>
  <si>
    <t>Verification Type</t>
  </si>
  <si>
    <t>Project:</t>
  </si>
  <si>
    <t>Location:</t>
  </si>
  <si>
    <t>Date:</t>
  </si>
  <si>
    <t>Updated By:</t>
  </si>
  <si>
    <t>Certification Matrix</t>
  </si>
  <si>
    <t>Introduction</t>
  </si>
  <si>
    <t>Instructions</t>
  </si>
  <si>
    <t>Project Checklist</t>
  </si>
  <si>
    <t>Worksheets</t>
  </si>
  <si>
    <t>Optimizations</t>
  </si>
  <si>
    <t>Part 1: Base Air Quality Standard</t>
  </si>
  <si>
    <t>Part 2: Silver Certification Cap</t>
  </si>
  <si>
    <t>None necessary</t>
  </si>
  <si>
    <t>Part 3: Gold Certification Cap</t>
  </si>
  <si>
    <t>Part 1: Building Interiors</t>
  </si>
  <si>
    <t>SMK – Smoking Ban</t>
  </si>
  <si>
    <t>Long-Term Air Quality</t>
  </si>
  <si>
    <t>Enhanced Long-Term Air Quality</t>
  </si>
  <si>
    <t>Short-Term Air Quality</t>
  </si>
  <si>
    <t>Enhanced Short-Term Air Quality</t>
  </si>
  <si>
    <t>Pollution Source Separation</t>
  </si>
  <si>
    <t>Parking Restrictions</t>
  </si>
  <si>
    <t>Low Emission Vehicles</t>
  </si>
  <si>
    <t>Air Quality Education</t>
  </si>
  <si>
    <t>COM</t>
  </si>
  <si>
    <t>AQU</t>
  </si>
  <si>
    <t>Fundamental Air Quality</t>
  </si>
  <si>
    <t>SMK</t>
  </si>
  <si>
    <t>Smoking Ban</t>
  </si>
  <si>
    <t>SMO</t>
  </si>
  <si>
    <t>Outdoor Smoking Ban</t>
  </si>
  <si>
    <t>LTA</t>
  </si>
  <si>
    <t>LTE</t>
  </si>
  <si>
    <t>STA</t>
  </si>
  <si>
    <t>STE</t>
  </si>
  <si>
    <t>SEP</t>
  </si>
  <si>
    <t>PRK</t>
  </si>
  <si>
    <t>LEV</t>
  </si>
  <si>
    <t>AED</t>
  </si>
  <si>
    <t>WQT</t>
  </si>
  <si>
    <t>Drinking Water Quality</t>
  </si>
  <si>
    <t>WAD</t>
  </si>
  <si>
    <t>Public Water Additives</t>
  </si>
  <si>
    <t>PWT</t>
  </si>
  <si>
    <t>WQO</t>
  </si>
  <si>
    <t>High Quality Drinking Water</t>
  </si>
  <si>
    <t>WAC</t>
  </si>
  <si>
    <t>Drinking Water Access</t>
  </si>
  <si>
    <t>FAC</t>
  </si>
  <si>
    <t>Sanitary Facilities Provision</t>
  </si>
  <si>
    <t>WFS</t>
  </si>
  <si>
    <t>Water Feature Sanitation</t>
  </si>
  <si>
    <t>LEG</t>
  </si>
  <si>
    <t>Legionella Control</t>
  </si>
  <si>
    <t>SWA</t>
  </si>
  <si>
    <t>Stormwater Management</t>
  </si>
  <si>
    <t>OVF</t>
  </si>
  <si>
    <t>Overflow Water Management</t>
  </si>
  <si>
    <t>SUP</t>
  </si>
  <si>
    <t>Supermarket Access</t>
  </si>
  <si>
    <t>FRU</t>
  </si>
  <si>
    <t>Fruits and Vegetables</t>
  </si>
  <si>
    <t>HFO</t>
  </si>
  <si>
    <t>Healthy Food Procurement</t>
  </si>
  <si>
    <t>FAD</t>
  </si>
  <si>
    <t>Food Advertising</t>
  </si>
  <si>
    <t>NED</t>
  </si>
  <si>
    <t>Nutrition Education</t>
  </si>
  <si>
    <t>AGR</t>
  </si>
  <si>
    <t>AGP</t>
  </si>
  <si>
    <t>FAF</t>
  </si>
  <si>
    <t>Food Affordability</t>
  </si>
  <si>
    <t>FSE</t>
  </si>
  <si>
    <t>Food Security</t>
  </si>
  <si>
    <t>FSA</t>
  </si>
  <si>
    <t>Public Food Inspection Information</t>
  </si>
  <si>
    <t>BRE</t>
  </si>
  <si>
    <t>Breastfeeding Support</t>
  </si>
  <si>
    <t>LMP</t>
  </si>
  <si>
    <t>Lighting Master Plan</t>
  </si>
  <si>
    <t>LCS</t>
  </si>
  <si>
    <t>Lighting Control Schedule</t>
  </si>
  <si>
    <t>EMI</t>
  </si>
  <si>
    <t>Community-wide Emittance Caps</t>
  </si>
  <si>
    <t>LCT</t>
  </si>
  <si>
    <t>Obtrusive Light Control</t>
  </si>
  <si>
    <t>LTR</t>
  </si>
  <si>
    <t>Light Trespass Mitigation for Sleep</t>
  </si>
  <si>
    <t>SVI</t>
  </si>
  <si>
    <t>Visibility Facilitation</t>
  </si>
  <si>
    <t>RLI</t>
  </si>
  <si>
    <t>Right-Of-Way Lighting</t>
  </si>
  <si>
    <t>LEX</t>
  </si>
  <si>
    <t>Lighting for Exteriors</t>
  </si>
  <si>
    <t>MLI</t>
  </si>
  <si>
    <t>Mass Transit Lighting</t>
  </si>
  <si>
    <t>MIX</t>
  </si>
  <si>
    <t>Mixed-Use Development</t>
  </si>
  <si>
    <t>Movement Network Planning</t>
  </si>
  <si>
    <t>WAK</t>
  </si>
  <si>
    <t>Walkability</t>
  </si>
  <si>
    <t>PED</t>
  </si>
  <si>
    <t>Pedestrian-Scale Design</t>
  </si>
  <si>
    <t>PDS</t>
  </si>
  <si>
    <t>Enhanced Pedestrian Environments</t>
  </si>
  <si>
    <t>CYC</t>
  </si>
  <si>
    <t>Cyclist Infrastructure</t>
  </si>
  <si>
    <t>BPK</t>
  </si>
  <si>
    <t>Bicycle Parking</t>
  </si>
  <si>
    <t>CYS</t>
  </si>
  <si>
    <t>Enhanced Cyclist Environments</t>
  </si>
  <si>
    <t>BSH</t>
  </si>
  <si>
    <t>Community Bicycle Share</t>
  </si>
  <si>
    <t>TRA</t>
  </si>
  <si>
    <t>Mass Transit Infrastructure</t>
  </si>
  <si>
    <t>TRN</t>
  </si>
  <si>
    <t>Mass Transit Support</t>
  </si>
  <si>
    <t>WAY</t>
  </si>
  <si>
    <t>Community Wayfinding</t>
  </si>
  <si>
    <t>PAS</t>
  </si>
  <si>
    <t>PRG</t>
  </si>
  <si>
    <t>Activity Programming</t>
  </si>
  <si>
    <t>PET</t>
  </si>
  <si>
    <t>Pet Support</t>
  </si>
  <si>
    <t>EXT</t>
  </si>
  <si>
    <t>Extreme Weather Warnings</t>
  </si>
  <si>
    <t>HET</t>
  </si>
  <si>
    <t>Urban Heat Adaptation: Community Support</t>
  </si>
  <si>
    <t>HPE</t>
  </si>
  <si>
    <t>Urban Heat Adaptation: Public Education</t>
  </si>
  <si>
    <t>CLD</t>
  </si>
  <si>
    <t>Urban Cold Adaptation: Community Support</t>
  </si>
  <si>
    <t>CPE</t>
  </si>
  <si>
    <t>Urban Cold Adaptation: Public Education</t>
  </si>
  <si>
    <t>HIM</t>
  </si>
  <si>
    <t>Urban Heat Island Mitigation</t>
  </si>
  <si>
    <t>VEG</t>
  </si>
  <si>
    <t>Urban Vegetation and Green Spaces</t>
  </si>
  <si>
    <t>WAT</t>
  </si>
  <si>
    <t>Urban Water Bodies</t>
  </si>
  <si>
    <t>SUN</t>
  </si>
  <si>
    <t>Personal Sun Exposure</t>
  </si>
  <si>
    <t>Temperature</t>
  </si>
  <si>
    <t>SOU</t>
  </si>
  <si>
    <t>Sound Planning</t>
  </si>
  <si>
    <t>SMP</t>
  </si>
  <si>
    <t>Community Sound Mapping</t>
  </si>
  <si>
    <t>PLN</t>
  </si>
  <si>
    <t>Planning for Acoustics</t>
  </si>
  <si>
    <t>ORD</t>
  </si>
  <si>
    <t>Noise Ordinance</t>
  </si>
  <si>
    <t>NLV</t>
  </si>
  <si>
    <t>Noise Level Limit</t>
  </si>
  <si>
    <t>HEA</t>
  </si>
  <si>
    <t>Hearing Health Education</t>
  </si>
  <si>
    <t>Sound</t>
  </si>
  <si>
    <t>p</t>
  </si>
  <si>
    <t>HWM</t>
  </si>
  <si>
    <t>WST</t>
  </si>
  <si>
    <t>Waste Stream Management</t>
  </si>
  <si>
    <t>REM</t>
  </si>
  <si>
    <t>Site Remediation and Redevelopment</t>
  </si>
  <si>
    <t>CRE</t>
  </si>
  <si>
    <t>Construction Remediation</t>
  </si>
  <si>
    <t>ODS</t>
  </si>
  <si>
    <t>Outdoor Structures</t>
  </si>
  <si>
    <t>PES</t>
  </si>
  <si>
    <t>Landscaping and Pesticide Use</t>
  </si>
  <si>
    <t>HAZ</t>
  </si>
  <si>
    <t>Hazard Communication</t>
  </si>
  <si>
    <t>Materials</t>
  </si>
  <si>
    <t>AMH</t>
  </si>
  <si>
    <t>Access to Mental Health Services</t>
  </si>
  <si>
    <t>CRI</t>
  </si>
  <si>
    <t>Mental Health Crisis Support</t>
  </si>
  <si>
    <t>ABU</t>
  </si>
  <si>
    <t>Substance Abuse and Addiction Services</t>
  </si>
  <si>
    <t>ARK</t>
  </si>
  <si>
    <t>Substance Abuse and Addiction Services for At-Risk Populations</t>
  </si>
  <si>
    <t>ALC</t>
  </si>
  <si>
    <t>RDR</t>
  </si>
  <si>
    <t>Responsible Driving</t>
  </si>
  <si>
    <t>IPV</t>
  </si>
  <si>
    <t>Support for Victims of Interpersonal Violence</t>
  </si>
  <si>
    <t>SGR</t>
  </si>
  <si>
    <t>Integration of Streetscape Greenery</t>
  </si>
  <si>
    <t>CHI</t>
  </si>
  <si>
    <t>Outdoor Child Play Spaces</t>
  </si>
  <si>
    <t>GRE</t>
  </si>
  <si>
    <t>Restorative Green Spaces</t>
  </si>
  <si>
    <t>BLU</t>
  </si>
  <si>
    <t>Restorative Blue Spaces</t>
  </si>
  <si>
    <t>BLT</t>
  </si>
  <si>
    <t>Restorative Built Spaces</t>
  </si>
  <si>
    <t>SCE</t>
  </si>
  <si>
    <t>Preservation of Scenic Views</t>
  </si>
  <si>
    <t>VIS</t>
  </si>
  <si>
    <t>Community Visioning</t>
  </si>
  <si>
    <t>HIA</t>
  </si>
  <si>
    <t>Health Impact Assessment Screening</t>
  </si>
  <si>
    <t>HII</t>
  </si>
  <si>
    <t>Health Impact Assessment Implementation</t>
  </si>
  <si>
    <t>SOC</t>
  </si>
  <si>
    <t>Social Spaces</t>
  </si>
  <si>
    <t>PUB</t>
  </si>
  <si>
    <t>SAN</t>
  </si>
  <si>
    <t>Sanitation</t>
  </si>
  <si>
    <t>CHW</t>
  </si>
  <si>
    <t>Community Health and Wellness</t>
  </si>
  <si>
    <t>CHR</t>
  </si>
  <si>
    <t>Community Health Resilience</t>
  </si>
  <si>
    <t>PRI</t>
  </si>
  <si>
    <t>EDU</t>
  </si>
  <si>
    <t>Educational Opportunity</t>
  </si>
  <si>
    <t>HOU</t>
  </si>
  <si>
    <t>Fundamental Housing Quality</t>
  </si>
  <si>
    <t>EQU</t>
  </si>
  <si>
    <t>Housing Equity and Affordability</t>
  </si>
  <si>
    <t>DIG</t>
  </si>
  <si>
    <t>Digital Connectivity</t>
  </si>
  <si>
    <t>ENG</t>
  </si>
  <si>
    <t>Civic Engagement</t>
  </si>
  <si>
    <t>PRE</t>
  </si>
  <si>
    <t>Preservation and Rehabilitation</t>
  </si>
  <si>
    <t>CEL</t>
  </si>
  <si>
    <t>Celebration of Place</t>
  </si>
  <si>
    <t>ART</t>
  </si>
  <si>
    <t>Public Art</t>
  </si>
  <si>
    <t>SAF</t>
  </si>
  <si>
    <t>Community Confidence</t>
  </si>
  <si>
    <t>POC</t>
  </si>
  <si>
    <t>Community</t>
  </si>
  <si>
    <t>LTE – Enhanced Long-Term Air Quality</t>
  </si>
  <si>
    <t>STE – Enhanced Short-Term Air Quality</t>
  </si>
  <si>
    <t>LEV – Low Emission Vehicles</t>
  </si>
  <si>
    <t>SMO – Outdoor Smoking Ban</t>
  </si>
  <si>
    <t>LTA – Long-Term Air Quality</t>
  </si>
  <si>
    <t>STA – Short-Term Air Quality</t>
  </si>
  <si>
    <t>SEP – Pollution Source Separation</t>
  </si>
  <si>
    <t>PRK – Parking Restrictions</t>
  </si>
  <si>
    <t>AED – Air Quality Education</t>
  </si>
  <si>
    <t>WQT – Drinking Water Quality</t>
  </si>
  <si>
    <t>WAD – Public Water Additives</t>
  </si>
  <si>
    <t>PWT – Periodic Water Quality Testing</t>
  </si>
  <si>
    <t>WQO – High Quality Drinking Water</t>
  </si>
  <si>
    <t>WAC – Drinking Water Access</t>
  </si>
  <si>
    <t>FAC – Sanitary Facilities Provision</t>
  </si>
  <si>
    <t>WFS – Water Feature Sanitation</t>
  </si>
  <si>
    <t>SWA – Stormwater Management</t>
  </si>
  <si>
    <t>OVF – Overflow Water Management</t>
  </si>
  <si>
    <t>SUP – Supermarket Access</t>
  </si>
  <si>
    <t>FRU – Fruits and Vegetables</t>
  </si>
  <si>
    <t>FAD – Food Advertising</t>
  </si>
  <si>
    <t>NED – Nutrition Education</t>
  </si>
  <si>
    <t>FAF – Food Affordability</t>
  </si>
  <si>
    <t>FSA – Public Food Inspection Information</t>
  </si>
  <si>
    <t>BRE – Breastfeeding Support</t>
  </si>
  <si>
    <t>LMP – Lighting Master Plan</t>
  </si>
  <si>
    <t>LCS – Lighting Control Schedule</t>
  </si>
  <si>
    <t>EMI – Community-wide Emittance Caps</t>
  </si>
  <si>
    <t>LCT – Obtrusive Light Control</t>
  </si>
  <si>
    <t>SVI – Visibility Facilitation</t>
  </si>
  <si>
    <t>RLI – Right-Of-Way Lighting</t>
  </si>
  <si>
    <t>LEX – Lighting for Exteriors</t>
  </si>
  <si>
    <t>MLI – Mass Transit Lighting</t>
  </si>
  <si>
    <t>MIX – Mixed-Use Development</t>
  </si>
  <si>
    <t>WAK – Walkability</t>
  </si>
  <si>
    <t>PED – Pedestrian-Scale Design</t>
  </si>
  <si>
    <t>PDS – Enhanced Pedestrian Environments</t>
  </si>
  <si>
    <t>CYC – Cyclist Infrastructure</t>
  </si>
  <si>
    <t>CYS – Enhanced Cyclist Environments</t>
  </si>
  <si>
    <t>BSH – Community Bicycle Share</t>
  </si>
  <si>
    <t>TRA – Mass Transit Infrastructure</t>
  </si>
  <si>
    <t>TRN – Mass Transit Support</t>
  </si>
  <si>
    <t>WAY – Community Wayfinding</t>
  </si>
  <si>
    <t>PAS – Physical Activity Spaces</t>
  </si>
  <si>
    <t>PRG – Activity Programming</t>
  </si>
  <si>
    <t>PET – Pet Support</t>
  </si>
  <si>
    <t>EXT – Extreme Weather Warnings</t>
  </si>
  <si>
    <t>HET – Urban Heat Adaptation: Community Support</t>
  </si>
  <si>
    <t>HPE – Urban Heat Adaptation: Public Education</t>
  </si>
  <si>
    <t>CLD – Urban Cold Adaptation: Community Support</t>
  </si>
  <si>
    <t>CPE – Urban Cold Adaptation: Public Education</t>
  </si>
  <si>
    <t>HIM – Urban Heat Island Mitigation</t>
  </si>
  <si>
    <t>VEG – Urban Vegetation and Green Spaces</t>
  </si>
  <si>
    <t>WAT – Urban Water Bodies</t>
  </si>
  <si>
    <t>SUN – Personal Sun Exposure</t>
  </si>
  <si>
    <t>SOU – Sound Planning</t>
  </si>
  <si>
    <t>SMP – Community Sound Mapping</t>
  </si>
  <si>
    <t>PLN – Planning for Acoustics</t>
  </si>
  <si>
    <t>ORD – Noise Ordinance</t>
  </si>
  <si>
    <t>NLV – Noise Level Limit</t>
  </si>
  <si>
    <t>HEA – Hearing Health Education</t>
  </si>
  <si>
    <t>WST – Waste Stream Management</t>
  </si>
  <si>
    <t>REM – Site Remediation and Redevelopment</t>
  </si>
  <si>
    <t>CRE – Construction Remediation</t>
  </si>
  <si>
    <t>ODS – Outdoor Structures</t>
  </si>
  <si>
    <t>PES – Landscaping and Pesticide Use</t>
  </si>
  <si>
    <t>HAZ – Hazard Communication</t>
  </si>
  <si>
    <t>AMH – Access to Mental Health Services</t>
  </si>
  <si>
    <t>CRI – Mental Health Crisis Support</t>
  </si>
  <si>
    <t>ABU – Substance Abuse and Addiction Services</t>
  </si>
  <si>
    <t>ARK – Substance Abuse and Addiction Services for At-Risk Populations</t>
  </si>
  <si>
    <t>RDR – Responsible Driving</t>
  </si>
  <si>
    <t>IPV – Support for Victims of Interpersonal Violence</t>
  </si>
  <si>
    <t>SGR – Integration of Streetscape Greenery</t>
  </si>
  <si>
    <t>CHI – Outdoor Child Play Spaces</t>
  </si>
  <si>
    <t>GRE – Restorative Green Spaces</t>
  </si>
  <si>
    <t>BLU – Restorative Blue Spaces</t>
  </si>
  <si>
    <t>BLT – Restorative Built Spaces</t>
  </si>
  <si>
    <t>SCE – Preservation of Scenic Views</t>
  </si>
  <si>
    <t>VIS – Community Visioning</t>
  </si>
  <si>
    <t>HIA – Health Impact Assessment Screening</t>
  </si>
  <si>
    <t>HII – Health Impact Assessment Implementation</t>
  </si>
  <si>
    <t>SOC – Social Spaces</t>
  </si>
  <si>
    <t>SAN – Sanitation</t>
  </si>
  <si>
    <t>CHW – Community Health and Wellness</t>
  </si>
  <si>
    <t>CHR – Community Health Resilience</t>
  </si>
  <si>
    <t>EDU – Educational Opportunity</t>
  </si>
  <si>
    <t>HOU – Fundamental Housing Quality</t>
  </si>
  <si>
    <t>EQU – Housing Equity and Affordability</t>
  </si>
  <si>
    <t>ENG – Civic Engagement</t>
  </si>
  <si>
    <t>PRE – Preservation and Rehabilitation</t>
  </si>
  <si>
    <t>CEL – Celebration of Place</t>
  </si>
  <si>
    <t>SAF – Community Confidence</t>
  </si>
  <si>
    <t>POC – Post-Occupancy Surveys</t>
  </si>
  <si>
    <t>Part 1: Building Surroundings</t>
  </si>
  <si>
    <t xml:space="preserve">
Smoking and use of e-cigarettes is prohibited within 7.5 m [25 ft] of the following locations related to buildings owned, operated, or managed by the project owner:
a. Building entrances.
b. Operable windows.
c. Building air intakes.
</t>
  </si>
  <si>
    <t>Part 2: Outdoor Activity Areas</t>
  </si>
  <si>
    <t>Part 1: Particulate Matter</t>
  </si>
  <si>
    <t>Part 2: Inorganic Gases</t>
  </si>
  <si>
    <t xml:space="preserve">Part 1: Enhanced Particulate Matter </t>
  </si>
  <si>
    <t>Part 2: Enhanced Inorganic Gases</t>
  </si>
  <si>
    <t>Part 1: Traffic Separation</t>
  </si>
  <si>
    <t>Part 2: Real Cost of Parking</t>
  </si>
  <si>
    <t xml:space="preserve">Part 1: Low Emission Vehicles </t>
  </si>
  <si>
    <t>Letters of Assurance – Policy Document and/or Map</t>
  </si>
  <si>
    <t>Letters of Assurance – Electrical Plan and Policy Document</t>
  </si>
  <si>
    <t>Part 1: Sediment</t>
  </si>
  <si>
    <t>Part 2: Microorganisms</t>
  </si>
  <si>
    <t>Part 3: Dissolved Metals and Metalloids</t>
  </si>
  <si>
    <t>Part 4: Organic Pollutants</t>
  </si>
  <si>
    <t>Part 5: Herbicides and Pesticides</t>
  </si>
  <si>
    <t>Part 6: Fertilizers</t>
  </si>
  <si>
    <t>Part 1: Disinfectants</t>
  </si>
  <si>
    <t>Part 3: Fluoride</t>
  </si>
  <si>
    <t>Part 1: Testing for Microorganisms</t>
  </si>
  <si>
    <t>Operations Schedule</t>
  </si>
  <si>
    <t xml:space="preserve">
Water from all (minimum one) outdoor drinking water fountains located in public use areas is tested quarterly (with reports submitted annually to the IWBI) for the presence of the following:
a. Total coliforms (including E. coli).
</t>
  </si>
  <si>
    <t>Part 2: Testing for Inorganic Compounds</t>
  </si>
  <si>
    <t>Part 3: Water Data Records</t>
  </si>
  <si>
    <t>Part 4: Water Data Response</t>
  </si>
  <si>
    <t xml:space="preserve">
A written policy is provided specifying:
a. Detailed enforcement strategies for monitoring and keeping record of water quality parameters listed in Part 1 and Part 2 of this feature, including full data from field inspections or laboratory results where appropriate.
</t>
  </si>
  <si>
    <t xml:space="preserve">
A detailed plan for dealing with unacceptable water conditions is provided, including:
a. Plans for immediate public notification upon identification of hazardous conditions, such as warning notices sites within the project boundary.
b. Plans for action and remediation of unacceptable conditions. 
</t>
  </si>
  <si>
    <t>Part 1: Drinking Water Taste Properties</t>
  </si>
  <si>
    <t>Part 1: Drinking Water Fountains</t>
  </si>
  <si>
    <t>Part 2: Hydration Stations</t>
  </si>
  <si>
    <t xml:space="preserve">Letter of Assurance and Map </t>
  </si>
  <si>
    <t>Part 3: Drinking Water Fountain Maintenance</t>
  </si>
  <si>
    <t>Part 1: Public Facilities</t>
  </si>
  <si>
    <t>Part 2: Restrooms Access</t>
  </si>
  <si>
    <t>Professional Narrative</t>
  </si>
  <si>
    <t>Part 3: Handwashing Promotion</t>
  </si>
  <si>
    <t>Part 4: Sanitary Materials</t>
  </si>
  <si>
    <t>Part 5: Facilities Maintenance</t>
  </si>
  <si>
    <t>Part 1: Natural Water Bodies</t>
  </si>
  <si>
    <t>Part 2: Water Quality Limits</t>
  </si>
  <si>
    <t>Part 3: Supply and Circulation System Design</t>
  </si>
  <si>
    <t>Part 4: Maintenance and Sanitation Records</t>
  </si>
  <si>
    <t>Part 1: Risk Management Plan</t>
  </si>
  <si>
    <t>Part 1: Low Impact Development</t>
  </si>
  <si>
    <t xml:space="preserve">Professional Narrative </t>
  </si>
  <si>
    <t>Part 1: Sewer Separation</t>
  </si>
  <si>
    <t>Part 1: Supermarket Location</t>
  </si>
  <si>
    <t>Part 1: Fruit and Vegetable Sources</t>
  </si>
  <si>
    <t>Part 1: Healthy Vending</t>
  </si>
  <si>
    <t>Part 2: Healthy Concessions</t>
  </si>
  <si>
    <t>Part 1: Healthy Eating Promotion</t>
  </si>
  <si>
    <t>Part 1: Nutrition Education Programming</t>
  </si>
  <si>
    <t xml:space="preserve">
At least one of the following educational opportunities is available year-round and at no-cost at public use locations:
a. Monthly nutrition education classes. 
b. Monthly cooking demonstrations.
c. Monthly gardening or agriculture classes. 
</t>
  </si>
  <si>
    <t xml:space="preserve">Part 2: Drinking Water Promotion </t>
  </si>
  <si>
    <t>Part 1: Urban Agriculture Space</t>
  </si>
  <si>
    <t xml:space="preserve">Part 2: Urban Agriculture Support </t>
  </si>
  <si>
    <t>Part 1: Policies to Support Urban Agriculture</t>
  </si>
  <si>
    <t xml:space="preserve">
A point-by-point narrative describes how the project promotes current and future integration of urban agriculture through at least one of the following: 
a. Policies for unused or vacant land owned by the project owner being allocated to urban agriculture.
b. Policies that enable urban agriculture in underutilized spaces, such as rooftops.
</t>
  </si>
  <si>
    <t>Part 1: Affordable Food Access</t>
  </si>
  <si>
    <t xml:space="preserve">
All supermarkets and grocery stores with produce sections within the project boundary accept at least one the following:
a. Electronic Benefit Transfer (EBT) payments.
b. Other programs that enable affordable monthly food access.
</t>
  </si>
  <si>
    <t xml:space="preserve">Part 2: Affordable Fruit and Vegetable Access </t>
  </si>
  <si>
    <t>Part 1: Community Food Support</t>
  </si>
  <si>
    <t xml:space="preserve">
The project allocates a minimum of one dollar per dwelling unit (minimum $1,000 USD) per year to one of the following: 
a. Local hunger relief organization.
b. Local community garden or food production resource.
</t>
  </si>
  <si>
    <t>Part 2: Community Food Drive</t>
  </si>
  <si>
    <t xml:space="preserve">
An annual food drive or programming event with targeted food donations is held and meets the following requirements:
a. Healthy and nutritious food donations are promoted and encouraged. 
b. All donations benefit the project or local populations in need of assistance (as demonstrated by available food insecurity data).
 </t>
  </si>
  <si>
    <t>Part 1: Restaurant Ratings</t>
  </si>
  <si>
    <t>Part 1: Breastfeeding Facilities</t>
  </si>
  <si>
    <t>Part 2: Breastfeeding Empowerment</t>
  </si>
  <si>
    <t>Part 1: Light Zone Map</t>
  </si>
  <si>
    <t>Part 2: Lighting Goals</t>
  </si>
  <si>
    <t>Part 1: Lighting Curfew Hours</t>
  </si>
  <si>
    <t>Part 2: Residential Lumen Limits</t>
  </si>
  <si>
    <t>Part 1: Non-residential Properties</t>
  </si>
  <si>
    <t>Part 2: Residential Properties</t>
  </si>
  <si>
    <t>Part 3: Right-of-way Areas</t>
  </si>
  <si>
    <t>Part 1: Protected Dwelling Units</t>
  </si>
  <si>
    <t>Part 2: Residential Trespass Avoidance</t>
  </si>
  <si>
    <t>Part 1: Color Rendering Index</t>
  </si>
  <si>
    <t>Part 2: Correlated Color Temperature</t>
  </si>
  <si>
    <t>Part 3: Roadway Signage</t>
  </si>
  <si>
    <t>Part 4: Signage Luminance Limits</t>
  </si>
  <si>
    <t>Part 5: Signage Distraction Mitigation</t>
  </si>
  <si>
    <t>Part 1: Roadways and Pedestrian Paths</t>
  </si>
  <si>
    <t xml:space="preserve">Part 2: Crosswalks </t>
  </si>
  <si>
    <t>Part 3: Veiling Luminance Ratios</t>
  </si>
  <si>
    <t>Part 1: Public Exteriors</t>
  </si>
  <si>
    <t>Part 1: Interior Stops</t>
  </si>
  <si>
    <t>Part 2: Exterior Stops</t>
  </si>
  <si>
    <t>Part 3: Pedestrian Crossings</t>
  </si>
  <si>
    <t>Part 1: Land Use Mix</t>
  </si>
  <si>
    <t xml:space="preserve">Part 1: Transportation Analysis </t>
  </si>
  <si>
    <t>Part 2: Transportation Safety Plan</t>
  </si>
  <si>
    <t>Part 1: Walkable Design</t>
  </si>
  <si>
    <t xml:space="preserve">Part 2: Pedestrian Pathways </t>
  </si>
  <si>
    <t>Part 3: Accessible Design</t>
  </si>
  <si>
    <t>Part 4: Pedestrian Pathway Maintenance</t>
  </si>
  <si>
    <t xml:space="preserve">Part 1: Active Façades </t>
  </si>
  <si>
    <t>Part 2: Active Streets</t>
  </si>
  <si>
    <t>Part 3: Street Furnishings</t>
  </si>
  <si>
    <t>Part 1: Pedestrian Safety Countermeasures</t>
  </si>
  <si>
    <t>Part 1: Bicycle Lane Geography</t>
  </si>
  <si>
    <t>Part 2: Bicycle Lane Geometry</t>
  </si>
  <si>
    <t>Part 1: Bicycle Parking Infrastructure</t>
  </si>
  <si>
    <t>Part 2: Building Bicycle Policy</t>
  </si>
  <si>
    <t>Part 1: Cyclist Safety Countermeasures</t>
  </si>
  <si>
    <t>Part 1: Bicycle Share Program</t>
  </si>
  <si>
    <t xml:space="preserve">Part 2: Membership Promotion </t>
  </si>
  <si>
    <t>Part 1: Mass Transit Availability</t>
  </si>
  <si>
    <t xml:space="preserve">Part 1: Mass Transportation Campaign </t>
  </si>
  <si>
    <t>Part 2: Mass Transportation Amenities</t>
  </si>
  <si>
    <t>Part 1: Wayfinding System</t>
  </si>
  <si>
    <t xml:space="preserve">Part 2: Active Maps </t>
  </si>
  <si>
    <t>Part 1: Outdoor Fitness Spaces</t>
  </si>
  <si>
    <t>Part 2: Indoor Fitness Spaces</t>
  </si>
  <si>
    <t>Part 1: Physical Activity Promotion</t>
  </si>
  <si>
    <t>Part 1: Pet Friendly Spaces</t>
  </si>
  <si>
    <t>Part 1: Heat Warnings</t>
  </si>
  <si>
    <t>Part 2: Cold Warnings</t>
  </si>
  <si>
    <t>Part 3: Adverse Impacts Communication</t>
  </si>
  <si>
    <t>Part 1: Cooling Shelters</t>
  </si>
  <si>
    <t>Part 2: Utility Management for Hot Weather</t>
  </si>
  <si>
    <t>Part 1: Emergency Phone Lines</t>
  </si>
  <si>
    <t>Part 2: Community Education and Engagement</t>
  </si>
  <si>
    <t>Part 1: Warming Shelters</t>
  </si>
  <si>
    <t>Part 2: Utility Management for Cold Weather</t>
  </si>
  <si>
    <t>Part 1: Public Health Preparedness</t>
  </si>
  <si>
    <t>Part 2: Community Outreach</t>
  </si>
  <si>
    <t>Part 1: Roof Tops</t>
  </si>
  <si>
    <t>Part 2: Sidewalks and Roadways</t>
  </si>
  <si>
    <t>Part 3: Parking Lots</t>
  </si>
  <si>
    <t>Part 1: Tree Shading</t>
  </si>
  <si>
    <t>Part 2: Vegetation Coverage</t>
  </si>
  <si>
    <t>Part 1: Occupational Exposure</t>
  </si>
  <si>
    <t>Part 2: Recreational Exposure</t>
  </si>
  <si>
    <t xml:space="preserve">Part 1: Noise Narrative  </t>
  </si>
  <si>
    <t xml:space="preserve">Part 1: Noise Map </t>
  </si>
  <si>
    <t xml:space="preserve">Part 1: Noise Compatible Development </t>
  </si>
  <si>
    <t>Part 1: Ordinance Adoption</t>
  </si>
  <si>
    <t xml:space="preserve">Part 1: Maximum Allowable Sound Level </t>
  </si>
  <si>
    <t xml:space="preserve">Part 1: Hearing Health Promotion </t>
  </si>
  <si>
    <t xml:space="preserve">Part 2: Hearing Protection Programming </t>
  </si>
  <si>
    <t>Part 1: Hazardous Waste Management</t>
  </si>
  <si>
    <t>Part 1: Waste Reduction</t>
  </si>
  <si>
    <t>Part 1: Cleanup and Redevelopment</t>
  </si>
  <si>
    <t>Part 1: Lead Abatement</t>
  </si>
  <si>
    <t>Part 2: Asbestos Abatement</t>
  </si>
  <si>
    <t>Part 3: Polychlorinated Biphenyl Abatement</t>
  </si>
  <si>
    <t>Part 4: Mercury Abatement</t>
  </si>
  <si>
    <t xml:space="preserve">Part 1: Treated Wood </t>
  </si>
  <si>
    <t xml:space="preserve">Part 2: Lead Paint </t>
  </si>
  <si>
    <t xml:space="preserve">Part 3: Lead in Soil and Dust  </t>
  </si>
  <si>
    <t>Part 1: Pesticide and Herbicide Use</t>
  </si>
  <si>
    <t xml:space="preserve">Part 1: Right to Know  </t>
  </si>
  <si>
    <t xml:space="preserve">Part 2: Hazard Information </t>
  </si>
  <si>
    <t>Part 1: Mental Health Services</t>
  </si>
  <si>
    <t>Part 2: Community-Based Support Services</t>
  </si>
  <si>
    <t>Part 1: Crisis Support Services</t>
  </si>
  <si>
    <t>Part 2: Emergency Prevention</t>
  </si>
  <si>
    <t>Part 3: Hotspot Management</t>
  </si>
  <si>
    <t xml:space="preserve">Part 1: Treatment and Care </t>
  </si>
  <si>
    <t>Part 1: Specialized Programs</t>
  </si>
  <si>
    <t xml:space="preserve">Part 1: Alcohol Environment Policy </t>
  </si>
  <si>
    <t xml:space="preserve">Part 1: Responsible Driving Programs  </t>
  </si>
  <si>
    <t>Part 1: Placement of Streetscape Greenery</t>
  </si>
  <si>
    <t>Part 2: Installation and Maintenance of Streetscape Greenery</t>
  </si>
  <si>
    <t>Part 1: Access to Play Spaces</t>
  </si>
  <si>
    <t>Part 2: Design of Play Spaces</t>
  </si>
  <si>
    <t>Part 1: Access to Green Spaces</t>
  </si>
  <si>
    <t>Part 2: Design of Green Spaces</t>
  </si>
  <si>
    <t>Part 3: Integration of Restorative Elements</t>
  </si>
  <si>
    <t>Part 1: Access to Blue Spaces</t>
  </si>
  <si>
    <t>Part 2: Integration of Restorative Elements</t>
  </si>
  <si>
    <t>Part 1: Restorative Places</t>
  </si>
  <si>
    <t>Part 2: Access to Restorative Built Spaces</t>
  </si>
  <si>
    <t>Part 1: Designation of Scenic Views</t>
  </si>
  <si>
    <t>Part 2: Preservation and Management of Scenic Views</t>
  </si>
  <si>
    <t>Part 1: Participatory Development</t>
  </si>
  <si>
    <t>Part 1: Baseline Community Health Profile and Screening</t>
  </si>
  <si>
    <t xml:space="preserve">Part 1: HIA Implementation </t>
  </si>
  <si>
    <t xml:space="preserve">Part 2: HIA Monitoring and Evaluation </t>
  </si>
  <si>
    <t>Part 1: Indoor Gathering Spaces</t>
  </si>
  <si>
    <t>Part 2: Outdoor Gathering Spaces</t>
  </si>
  <si>
    <t>Part 3: Programming for Social Cohesion</t>
  </si>
  <si>
    <t>Part 1: Privately Owned Public Use Space</t>
  </si>
  <si>
    <t>Part 1: Waste Receptacles</t>
  </si>
  <si>
    <t>Part 2: Sidewalk and Street Cleaning</t>
  </si>
  <si>
    <t>Part 3: Community Beautification</t>
  </si>
  <si>
    <t>Part 1: Health Needs Assessment and Programming</t>
  </si>
  <si>
    <t>Part 2: Screening Programs</t>
  </si>
  <si>
    <t>Part 3: Resource Database</t>
  </si>
  <si>
    <t>Part 1: Community Preparedness</t>
  </si>
  <si>
    <t>Part 2: Community Recovery</t>
  </si>
  <si>
    <t>Part 1: Geographic Access</t>
  </si>
  <si>
    <t>Part 1: Educational Access</t>
  </si>
  <si>
    <t>Part 1: Accessible Dwellings</t>
  </si>
  <si>
    <t>Part 2: Universal Design</t>
  </si>
  <si>
    <t xml:space="preserve">Part 3: Fair Housing </t>
  </si>
  <si>
    <t xml:space="preserve">Part 1: Unit Allocation </t>
  </si>
  <si>
    <t>Part 2: Housing Cost Limits</t>
  </si>
  <si>
    <t>Part 1: Digital Infrastructure</t>
  </si>
  <si>
    <t>Part 2:  Wi-Fi Network</t>
  </si>
  <si>
    <t>Part 1: Voting Opportunities</t>
  </si>
  <si>
    <t>Part 2: Community Engagement</t>
  </si>
  <si>
    <t>Part 3: Volunteerism</t>
  </si>
  <si>
    <t>Part 1: Preservation of Place</t>
  </si>
  <si>
    <t>Part 2: Vacant Lot Transformation</t>
  </si>
  <si>
    <t xml:space="preserve">Part 1: Community Design and Identity </t>
  </si>
  <si>
    <t>Part 2: Community-serving Retail and Institutions</t>
  </si>
  <si>
    <t xml:space="preserve">Part 1: Percent for Art </t>
  </si>
  <si>
    <t>Part 2: Public Art Program</t>
  </si>
  <si>
    <t>Part 1: Crime Prevention Through Environmental Design</t>
  </si>
  <si>
    <t>Part 1: User Survey Content</t>
  </si>
  <si>
    <t>Part 2: Information Reporting</t>
  </si>
  <si>
    <t>Part 1: Sustainable Community Certification</t>
  </si>
  <si>
    <t xml:space="preserve">Part 1: Market Transformation </t>
  </si>
  <si>
    <t>Part 1: Innovation Proposal</t>
  </si>
  <si>
    <t>Part 2: Innovation Support</t>
  </si>
  <si>
    <t>Part 1: WELL AP</t>
  </si>
  <si>
    <t>Part 2: Supermarket Connectivity</t>
  </si>
  <si>
    <t>Part 2: Stationary Vehicle Electrification</t>
  </si>
  <si>
    <t>Lighting Designer or Architect</t>
  </si>
  <si>
    <t>Architectural Drawings</t>
  </si>
  <si>
    <t>BPK – Bicycle Parking (1 of the 3 parts is required)</t>
  </si>
  <si>
    <t xml:space="preserve">Professional Narrative  </t>
  </si>
  <si>
    <t xml:space="preserve">Remediation Report </t>
  </si>
  <si>
    <t xml:space="preserve">Policy Document </t>
  </si>
  <si>
    <t>Operations Schedule and Policy Document</t>
  </si>
  <si>
    <t>Policy Documents</t>
  </si>
  <si>
    <t xml:space="preserve">Policy Documents </t>
  </si>
  <si>
    <t>DIG – Digital Connectivity (1 of the 2 parts is required)</t>
  </si>
  <si>
    <t>ART – Public Art (1 of the 2 parts is required)</t>
  </si>
  <si>
    <t xml:space="preserve">
The following requirement is met and certification condition applies:
a. The project achieves 3 points within the Air concept of the WELL Community Standard. The following features outside of the Air concept may also count toward this total: 
• Feature SGR – Integration of Streetscape Greenery
• Feature GRE – Restorative Green Spaces
• Feature VEG – Urban Vegetation and Green Spaces
b. The project is limited to Silver level of certification under the WELL Community Standard, no matter how many optimizations are achieved.
</t>
  </si>
  <si>
    <t>AQU – Fundamental Air Quality (1 of the 3 parts is required)</t>
  </si>
  <si>
    <t xml:space="preserve">
Area-level measurements for the following pollutant meet the listed limits, when analyzed over a one-year period:
a. Annual average nitrogen dioxide less than 100 µg/m³ (53 ppb).
 </t>
  </si>
  <si>
    <t xml:space="preserve">
Area-level measurements for the following pollutants meet the following listed limits, when analyzed over a one-year period:
a. Annual average PM2.5 less than 10 µg/m³.
b. Annual average PM10 less than 20 µg/m³.
</t>
  </si>
  <si>
    <t xml:space="preserve">
Area-level measurements for the following pollutant meets the listed limit, when analyzed over a one-year period:
a. Annual average nitrogen dioxide less than 40 µg/m³ (21 ppb).
 </t>
  </si>
  <si>
    <t xml:space="preserve">
Area-level measurements for the following pollutants meet the listed limits, when analyzed over a one-year period:
a. Annual fourth-highest daily average 24-hour concentration (99th percentile) PM2.5 less than 50 µg/m³.
b. Annual fourth-highest daily average 24-hour concentration (99th percentile) PM10 less than 100 µg/m³.
</t>
  </si>
  <si>
    <t xml:space="preserve">
Area-level measurements for the following pollutants meet the listed limits, when analyzed over a one-year period:
a. Highest 8-hour average ozone less than 160 µg/m³ (82 ppb).
b. Highest 1-hour average nitrogen dioxide less than 200 µg/m³ (106 ppb).
c. Highest 8-hour average carbon monoxide less than 10 mg/m³ (9 ppm).
 </t>
  </si>
  <si>
    <t xml:space="preserve">
Area-level measurements of the following pollutants meet the listed limits, when analyzed over a one-year period:
a. Fourth highest daily average (99th percentile) PM2.5 less than 25 µg/m³.
b. Fourth highest daily average (99th percentile) PM10 less than 50 µg/m³.
</t>
  </si>
  <si>
    <t xml:space="preserve">
Area-level measurements of the following pollutants meet the listed limits, when analyzed over a one-year period:
a. Highest 8-hour average ozone less than 100 µg/m³ (51 ppb).
b. Highest 24-hour average carbon monoxide less than 7 mg/m³ (6 ppm).
c. 99th percentile of 1-hour daily maximums of sulfur dioxide less than 200 µg/m³ (75 ppb).
</t>
  </si>
  <si>
    <t xml:space="preserve">
All ship berths (cargo and passenger ships) and truck stops (if any) meet the following requirements: 
a. Provide electric “shore power” to docked ships and parked trucks.
b. Implement policies requiring docked and parked vehicles to turn off their diesel engines.
</t>
  </si>
  <si>
    <t xml:space="preserve">
Water from all (minimum one) outdoor drinking water fountains located in public use areas is tested quarterly (with reports submitted annually to IWBI) for the presence of the following dissolved metals or metalloids:
a. Lead. 
b. Arsenic. 
c. Mercury. 
d. Copper.
</t>
  </si>
  <si>
    <t xml:space="preserve">
Projects provide a written policy specifying that the following records pertaining to any public use interactive water features or fountains are kept for a minimum of three years including full data from field inspections or laboratory results, where appropriate:
a. Date of construction of the water feature.
b. Daily chemical log.
c. Chlorine test results.
d. Bromine test results.
e. Cyanuric acid test results.
f. pH test results.
g. Any supplemental water treatment.
h. Routine maintenance schedule and log.
i. Preventative maintenance schedule and log.
j. Documentation of methods for determining turnover rates.
k. Manufacturer’s instructions for operation of disinfection equipment.
l. Manufacturer’s instructions for operation of chemical control equipment.
m. Manufacturer’s instructions for operation of the chemical feed system.
</t>
  </si>
  <si>
    <t xml:space="preserve">
At least two of the following existing or planned fruit and vegetable sources are located within an 800 m [0.5 mi] walk distance of at least 75% of dwelling units or a 400 m [0.25 mi] walk distance of at least 50% of dwelling units:
a. Small fruit and vegetable stand or mobile cart that is open at least five days a week and operates year-round.
b. Farmers’ market that is open at least once a week and operates for at least four months of the year.
c. CSA share distribution point within the project boundary that is available to and has resource capacity to deliver fruit and vegetable shares to residents at least twice a month, for at least four months of the year.
d. Other fruit and vegetable source that provides fresh and/or locally sourced produce year-round.
</t>
  </si>
  <si>
    <t xml:space="preserve">
Drinking water is promoted through water-positive messaging that includes at least one of the following:
a. Public art or community mural.
b. Artistically designed drinking water fountains.
c. Informative or educational decals at drinking water sources.
d. Signage that identifies location of drinking water fountains.
</t>
  </si>
  <si>
    <t xml:space="preserve">
Farmers’ markets and/or community-supported agriculture (CSA) shares accept at least one of the following for the purchase of fruits and vegetables: 
a. Electronic Benefit Transfer (EBT) payments.
b. Healthy food incentive programs, such as Health Bucks offered in New York City.
c. CSA restaurant subsidy programs.
d. Senior farmers’ market coupon programs.
e. Other programs that enable fruit and vegetable access.
 </t>
  </si>
  <si>
    <t xml:space="preserve">
A point-by-point narrative outlines lighting goals for specific activity areas and across the entirety of the community, including a consideration of the following:
a. Pedestrian, cyclist, and vehicular conflicts.
b. Security and crime prevention.
c. Light pollution and trespass.
d. Inclusion of lighting for social and aesthetic purposes.
e. Daytime appearance of luminaires.
f. Minimum horizontal illuminance targets in all public areas, including all building exteriors and pathways.
g. Minimum vertical illuminance targets in all public areas, including all building exteriors and pathways.
h. Color quality of lighting, including consideration of maximum allowable Correlated Color Temperature (CCT) and minimum allowable Color Rendering Index (CRI) of lights. 
</t>
  </si>
  <si>
    <t xml:space="preserve">
The following requirement is met for at least 75% of exterior luminaires (excluding lighting within public right-of-way or easement and ornamental street lighting) in non-residential properties with defined property lines. Public areas should consider the nearest residential or commercial property line as the property line for compliance purposes:
a. The luminaire’s BUG rating does not exceed that which is outlined as appropriate per lighting zone in the Joint IDA-IES MLO.
</t>
  </si>
  <si>
    <t xml:space="preserve">
75% of exterior luminaires within the public right-of-way or easement meet the following requirement:
a. Shielded such that no light emits at or above 90° above nadir with the exception of ornamental street lighting, which adheres to the uplight control requirements of Table H of the Joint IDA-IES MLO per lighting zone.
</t>
  </si>
  <si>
    <t xml:space="preserve">
All outdoor luminaires in residential areas meet one of the following requirements:
a. BUG rating no more than B2-U2-G2.
b. USGBC’s LEED v4 ND: Built Project, Light pollution reduction credit’s Option 2. Calculation method, Table 2. Maximum percentage of lumens above horizontal, by lighting zone.
</t>
  </si>
  <si>
    <t xml:space="preserve">
The following requirement is met for 75% or more of the exterior light sources on roadways and pedestrian paths:
a. CRI (average of R1 through R8) of 70 or higher.
</t>
  </si>
  <si>
    <t xml:space="preserve">
Area-level measurements for the following pollutants meet the listed limits, when analyzed over a one-year period: 
a. Annual average PM2.5 less than 35 µg/m³.
b. Annual average PM10 less than 70 µg/m³.
c. Annual fourth-highest daily average 24-hour concentration (99th percentile) PM2.5 less than 75 µg/m³.
d. Annual fourth-highest daily average 24-hour concentration (99th percentile) PM10 less than 150 µg/m³.
e. Highest 8-hour average ozone less than 240 µg/m³ (122 ppb).
f. Highest 8-hour average carbon monoxide less than 14 mg/m³ (12 ppm).
</t>
  </si>
  <si>
    <t>GND</t>
  </si>
  <si>
    <t xml:space="preserve">Green Rating Systems </t>
  </si>
  <si>
    <t>Innovation</t>
  </si>
  <si>
    <t xml:space="preserve">Planning for Health </t>
  </si>
  <si>
    <t>INP</t>
  </si>
  <si>
    <t>INV</t>
  </si>
  <si>
    <t>Innovate WELL</t>
  </si>
  <si>
    <t>WLP</t>
  </si>
  <si>
    <t xml:space="preserve">WELL Accredited Professional </t>
  </si>
  <si>
    <t>Certification Certificate</t>
  </si>
  <si>
    <t xml:space="preserve">GND – Green Rating Systems </t>
  </si>
  <si>
    <t>Innovation Proposal</t>
  </si>
  <si>
    <t xml:space="preserve">
The project meets one of the following:
a. The project demonstrates that the local code has been changed as a result of project advocacy to meet or exceed a WELL feature. 
b. The project demonstrates that an exemption to local code has been made to meet or exceed a WELL feature.
</t>
  </si>
  <si>
    <t xml:space="preserve">Innovation Proposal </t>
  </si>
  <si>
    <t xml:space="preserve">WLP – WELL Accredited Professional </t>
  </si>
  <si>
    <t xml:space="preserve">Credential Certificate </t>
  </si>
  <si>
    <t xml:space="preserve">
At least one member of the project team:
a. Has achieved the WELL Accredited Professional credential by the time of documentation submission.
b. Maintains accreditation until project’s initial certification is achieved.
</t>
  </si>
  <si>
    <t xml:space="preserve">
Smoking and use of e-cigarettes is prohibited in all buildings (including garages) owned, operated, or managed by the project owner except:
a. Detached homes.
b. Retail stores, restaurants, and bars with a designated smoking area. All such smoking areas must have distinct ventilation from other buildings or tenants (if any). 
</t>
  </si>
  <si>
    <t xml:space="preserve">
Smoking and use of e-cigarettes is prohibited in the following locations owned, operated, or managed by the project owner:
a. Parks, recreational areas, pedestrian plazas, and parking lots.
b. Entertainment facilities.
</t>
  </si>
  <si>
    <t xml:space="preserve">
Area-level measurements for the following pollutants meet the listed limits, when analyzed over a one-year period: 
a. Annual average PM2.5 less than 25 µg/m³.
b. Annual average PM10 less than 50 µg/m³.
</t>
  </si>
  <si>
    <t xml:space="preserve">
One of the following requirements is met for all luminaires adjacent to any dwelling units that are currently occupied or already built and intended for occupation:
a. Fully shielded to prevent light from directly penetrating windows of dwelling units. 
b. Otherwise designed in ways related to the luminaire or via other non-luminaire design solutions to prevent light from directly penetrating windows of dwelling units.
</t>
  </si>
  <si>
    <t xml:space="preserve">
The following requirement is met for 75% or more of the exterior luminaires on roadways and pedestrian paths:
a. CCT between 2700K and 3000K.
</t>
  </si>
  <si>
    <t xml:space="preserve">
Lighting for all public exteriors in the project meet the maintained vertical and horizontal illuminance and uniformity recommendations per lighting zone as appropriate of at least one of the following:
a. IES RP-33-14 or any updated versions of the text.
b. IES Lighting Handbook 10th Edition, Table 26.2, or any updated versions of the text.
c. BS 5489-1:2013 or any updated versions of the text for public amenity areas and BS EN 12464-2:2014 or any updated versions of the text for outdoor work places.
</t>
  </si>
  <si>
    <t xml:space="preserve">
For exterior pedestrian crossings that intersect trackways, one of the following is provided at night within a 30 m [100 ft] radius of the crossing, as allowable by local code:
a. 1.5 times trackway illumination.
b. Horizontal illumination of 13 to 18 lux [1.2 to 1.7 fc] at grade.
</t>
  </si>
  <si>
    <t xml:space="preserve">
A point-by-point narrative demonstrates an assessment of the following:
a. Locations throughout the project boundary with existing and/or potential transportation safety issues and potential contributing factors based on available data. 
b. Potential evidence-based countermeasures and their feasibility of implementation.
c. Inter-sectoral policies and/or relationships that could impact transportation planning for the project. 
d. The long-term impact of advanced transportation technologies (e.g., autonomous vehicles) and mass transportation systems (e.g., metro, bus rapid transit, light rail).
e. Community transportation safety needs and concerns.
</t>
  </si>
  <si>
    <t xml:space="preserve">
At least one of the following requirements is met:
a. All newly constructed pedestrian pathways are compliant with local accessible design laws and/or standards.
b. The project commits to upgrade at least 50% of the existing pedestrian paths to be compliant with local accessible design laws and/or standards.
</t>
  </si>
  <si>
    <t xml:space="preserve">
A policy is in place that addresses and identifies the following:
a. A maintenance commitment and responsible entities for inspection and maintenance of pedestrian pathways and applicable pedestrian infrastructure including:
• Minor repairs (e.g., repairing surface cracks or uneven surfaces).
• Major repairs (e.g., breaking ground).
• Snow and/or ice removal, as applicable by climate.
</t>
  </si>
  <si>
    <t xml:space="preserve">
All cyclist infrastructure meets the following requirements:
a. Bicycle lane width is designed to the maximum width allowable by local code.
b. Buffer strategies (examples provided in Appendix F2) are used where possible and are designed to the maximum width allowable by local code.
</t>
  </si>
  <si>
    <t xml:space="preserve">
A point-by-point narrative demonstrates that the transportation network includes design and/or policy strategies from each of the following categories:
a. Separation of cyclists and other roadway users.
b. Visibility of cyclists.
c. Management of vehicular speed.
</t>
  </si>
  <si>
    <t xml:space="preserve">
All transit stations within the project boundary provide at least two of the following: 
a. Benches or other permanent seating furniture.
b. Shelters for weather protection.
c. Natural or man-made shading devices intended to block direct sunlight and glare (not applicable to below grade stations). 
d. Public art or landscape elements.
e. Trash receptacles.
f. Security lighting that is in compliance with applicable features in the Light concept.
</t>
  </si>
  <si>
    <t xml:space="preserve">
The following requirement is met and certification condition applies:
a. The project achieves 6 points within the Air concept of the WELL Community Standard. The following features outside of the Air concept may also count toward this total: 
• Feature SGR – Integration of Streetscape Greenery
• Feature GRE – Restorative Green Spaces
• Feature VEG – Urban Vegetation and Green Spaces
b. The project is limited to Gold level of certification under the WELL Community Standard, no matter how many optimizations are achieved.
</t>
  </si>
  <si>
    <t xml:space="preserve">
In residential areas, the following requirement is met for all outdoor lighting:
a. The allowed total installed initial luminaire* lumens per site, excluding right-of-way lighting, does not exceed the limits established in Table G of the Joint IDA-IES MLO per lighting zone and lighting application as appropriate with the luminaire’s shielding.
*The total installed initial luminaire lumens is calculated as the sum of the initial luminaire lumens for all luminaires.
</t>
  </si>
  <si>
    <t xml:space="preserve">
The following requirement is met:
a. 90% of the circulation network block length has continuous sidewalks or all-weather pathways present on both sides.
</t>
  </si>
  <si>
    <t xml:space="preserve">
The following requirement is met:
a. No more than 20% of the circulation network block length (measured in linear meters) is faced directly by at grade commercial garages or service bay openings (alley and other service ways are excluded from block length calculations).
</t>
  </si>
  <si>
    <t xml:space="preserve">
Advance heat warnings are issued when local temperatures exceed either one of the following conditions:
a. The 95th percentile for two or more consecutive days.
b. Existing heat indices or other threshold values that meet a location-specific definition of a heat wave.
</t>
  </si>
  <si>
    <t xml:space="preserve">
Advance cold warnings are issued when local temperatures fall below either one of the following conditions:
a. The 5th percentile for two or more consecutive days.
b. Existing threshold values that meet a location-specific definition of a cold spell.
</t>
  </si>
  <si>
    <t xml:space="preserve">
Community education programs are initiated to educate the public on at least the following:
a. Common diseases related to cold weather events such as influenza, the common cold, sinusitis, cardiovascular diseases, and asthma.
b. Individual-level cold adaptation strategies such as wearing appropriate clothing, exercise and avoiding alcohol and drug use.
c. Related services and resources available in the community such as immunizations.
</t>
  </si>
  <si>
    <t xml:space="preserve">
25% or more of all parking (measured by number of spaces) meets one of the following requirements:
a. Constructed of cool pavement such as asphalt modified with high albedo materials or colored pavements.
b. Grass-covered with soil enclosed in a lattice structure providing lateral containment.
c. Constructed of vegetated or non-vegetated permeable pavements. 
d. Covered by another floor of parking, a building, a roof, or other coverings. 
</t>
  </si>
  <si>
    <t xml:space="preserve">
Employers managed or contracted by the project owner requiring five or more employees to work outdoors at one time implement the following:
a. Work rest schedules based on heat index and level of activity.
b. Ultraviolet radiation protection plan.
c. Team health awareness plan.
</t>
  </si>
  <si>
    <t xml:space="preserve">
A comprehensive narrative describes how the project prioritizes acoustics in the planning and design development process and details an action plan for noise mitigation and management, including a description of each of the following:
a. Major sources of sound, both desirable and undesirable, within or nearby the project prior to construction outset and anticipated throughout the life of the project.
b. Acoustic priorities for different land use zones within the project, including the identification of noise-sensitive spaces. 
c. Sound mitigation design elements of the project.  
d. Strategies for protecting the acoustic environment in areas of the project that presently have a healthy level of environmental noise (e.g., quiet spaces).
</t>
  </si>
  <si>
    <t xml:space="preserve">
Noise awareness education across the lifespan is facilitated through at least two of the following:
a. Public dissemination of noise and hearing health information.
b. School-based hearing health education programs.
c. Occupational-setting-based hearing health education programs for employers managed or contracted by the project owner.
d. Recreational-setting-based hearing health education programs. 
</t>
  </si>
  <si>
    <t xml:space="preserve">
Renovation or demolition of buildings owned, operated or managed by the project owner and constructed prior to any applicable laws banning or restricting lead paint, lead evaluation and abatement is conducted in accordance with the following guidelines: 
a. An on-site investigation of the space is conducted by a certified risk assessor or inspector technician to determine the presence of any lead-based hazards in paint, dust and soil using definitions established by standard(s) in Table MA1.
b. All spaces found to have lead-based hazards must adhere to work practice standards for conducting lead-based paint activities, as outlined in regulations/guidelines Table MA1. 
</t>
  </si>
  <si>
    <t xml:space="preserve">
All playgrounds and child play areas owned, managed, or operated by the project owner meet the following conditions per regulations/guidelines in Table MA1:
a. Lead soil hazard assessment, remediation or well-managed programs of interim controls.
b. Exterior lead dust hazard assessment and remediation. 
</t>
  </si>
  <si>
    <t xml:space="preserve">
Informal community mental health care and support services are available and located within a 20-minute mass transit ride or 1.6 km [1 mi] walk distance, including at least two of the following: 
a. Early identification of mental health risks or conditions through screening initiatives.
b. Referrals to health services.
c. Assistance with activities of daily living.
d. Community reintegration support (e.g., housing placement, employment).
e. Consumer-run or peer programs.
f. Advocacy for individuals living with mental health conditions (e.g., anti-stigma campaigns).
g. Mental health promotion.
h. Practical support.
i. Crisis support. 
</t>
  </si>
  <si>
    <t xml:space="preserve">
A plan includes the following information: 
a. Consideration of the most common means of suicide within the project boundary based on local suicide attempt and completion data, to the extent such data exists and is available for the area within the project boundary. 
b. Restricting or managing means of suicide, as local laws allow.
</t>
  </si>
  <si>
    <t xml:space="preserve">
Substance abuse and addiction programs are located within a 20-minute mass transit ride or 1.6 km [1 mi] walk distance of the project boundary, including at least four of the following:
a. Individual and group counseling.
b. Inpatient and/or residential treatment.
c. Intensive outpatient treatment.
d. Case or care management.
e. Medication-assisted treatment.
f. Recovery support services (e.g., recovery homes, supportive housing).
g. Peer support (e.g., mentoring or peer-led support groups).
h. Screening initiatives supported by brief interventions.
i. Telephone or online support programs (mass transit and distance requirements do not apply).
j. Harm reduction interventions (e.g., needle exchange program).
</t>
  </si>
  <si>
    <t xml:space="preserve">
A responsible driver program is implemented incorporating one or more of the following:
a. Education and awareness.
b. Mass media campaign.
c. Designated driver program. 
d. Safe ride services.
</t>
  </si>
  <si>
    <t xml:space="preserve">
Plans for the installation and maintenance of streetscape greenery along roadways within the project boundary include:
a. Installation of street trees and other green landscaping on project roadways in accordance with local street tree planting codes and requirements (e.g., permits, planting season, planting locations, species selection).
b. Maintenance of tree plantings. 
</t>
  </si>
  <si>
    <t xml:space="preserve">
Outdoor child play spaces meet the following requirements:
a. Located within the grounds of a public use green space.
b. Signage at entrance of play space indicates hours of accessibility. If play space operates seasonally, signage at entrance will indicate months of accessibility.
</t>
  </si>
  <si>
    <t xml:space="preserve">
Green spaces within the project boundary meet the following requirements: 
a. At least 75% of dwelling units are within 300 m [1,000 ft] of public use green spaces that total a minimum size of 0.5 hectare [1.25 acre] or greater.
b. Entry points face a minimum of one public street.
c. Signage at entrance indicates hours of accessibility. If space operates seasonally, signage at entrance indicates months of accessibility.
</t>
  </si>
  <si>
    <t xml:space="preserve">
A narrative describes how green spaces are designed to provide the following:
a. Respite from the surrounding urban environment.
b. Elements that encourage involuntary attention.
</t>
  </si>
  <si>
    <t xml:space="preserve">
Blue spaces meet the following requirements:
a. At least one public use blue space is located within the project boundary or within 400 m [0.25 mi] walk distance of the project boundary. 
b. Land adjacent to blue spaces faces a minimum of one public street.
c. Signage at entrance indicates hours of accessibility. If space operates seasonally, signage at entrance indicates months of accessibility.
</t>
  </si>
  <si>
    <t xml:space="preserve">
A narrative describes how blue spaces are designed to provide the following:
a. Respite from the surrounding urban environment.
b. Elements that encourage involuntary attention.
</t>
  </si>
  <si>
    <t xml:space="preserve">
At least two of the following public use spaces are located within the project boundary or within a 400 m [0.25 mi] walk distance of the project boundary:
a. Museum or art gallery space.
b. House of worship.
c. Meditation or prayer space.
d. Historical site.
e. Promenade.
f. Plaza.
</t>
  </si>
  <si>
    <t xml:space="preserve">
Restorative built spaces located within the project boundary meet the following requirements:
a. Entry points face a minimum of one public use street.
b. Signage at entrance indicates hours of accessibility. If space operates seasonally, signage at entrance will indicate months of accessibility.
</t>
  </si>
  <si>
    <t xml:space="preserve">
A point-by-point narrative demonstrates the designation of scenic views within the project boundary and addresses the following: 
a. Designation of specific and general characteristics.
b. Site visits and identification of scenic resources.
c. Prioritization of specific views for preservation.
d. Preparation of a scenic resource map for public use.
e. Maintenance of an up-to-date list of scenic resources.
</t>
  </si>
  <si>
    <t xml:space="preserve">
A point-by-point narrative demonstrates plans for completing at least one of the following:
a. An impact evaluation within one year of project certification that demonstrates how the HIA influenced the planning and decision-making of the project.
b. An outcome evaluation within one year of 50% occupancy that demonstrates if and how positive health benefits were maximized and adverse health risks minimized within the project boundary.
</t>
  </si>
  <si>
    <t xml:space="preserve">
At least one of the following public use spaces where people can interact and congregate at no-cost is within the project boundary: 
a. Community center.
b. Senior center.
c. Library.
d. Museum. 
e. Atrium. 
</t>
  </si>
  <si>
    <t xml:space="preserve">
At least two of the following public use spaces where people can interact and congregate at no-cost are within the project boundary:
a. Plaza or square.
b. Park.
c. Amphitheatre.
d. Pedestrian street.
e. Community garden.
</t>
  </si>
  <si>
    <t xml:space="preserve">
Waste receptacles meet the following requirements: 
a. Available on sidewalks in commercial and mixed-use zones to collect pedestrian litter.
b. Installed at least every 244 m [800 ft] along pedestrian-accessible paths.
c. Emptied regularly.
</t>
  </si>
  <si>
    <t xml:space="preserve">
The following requirements are met:
a. Sidewalk cleaning is performed regularly.
b. Street cleaning, including cleaning of designated bike lanes, is performed regularly.
c. Street cleaning schedule is posted for public notice.
</t>
  </si>
  <si>
    <t xml:space="preserve">
The following requirement is met:
a. Residents and businesses are invited to participate in beautification initiatives that are held, at minimum, annually. 
</t>
  </si>
  <si>
    <t xml:space="preserve">
Annual screening programs are available at no-cost to all residents and visitors regardless of insurance status for at least six of the following, with selection dependent on local burden of disease data (Part 1a of this Feature), within an 800 m [0.5 mi] walk distance or 20-minute mass transit ride of the project boundary:
a. Breast cancer. 
b. Colorectal cancer.
c. Cervical cancer.
d. Skin cancer.
e. Cardiovascular disease risk factors, including blood pressure, cholesterol, and body mass index (BMI).
f. Stroke risk factors, including blood pressure and cholesterol. 
g. Type 2 diabetes.
h. Respiratory health.
i. Vision.
j. Hearing.
k. Mental health.
l. Sexual health.
</t>
  </si>
  <si>
    <t xml:space="preserve">
The following educational support programs are provided, as appropriate based on local demographic need, within an 800 m [0.5 mi] walk distance or 20-minute mass transit ride of the project boundary:
a. Center-based early childhood education (i.e., pre-kindergarten). 
b. Full day kindergarten programs.
c. Secondary school completion programs.
d. Out-of-school time academic programs.
e. Post-secondary education opportunities.
f. Continuing education for formal (i.e., accredited) and informal lifelong learning.
</t>
  </si>
  <si>
    <t xml:space="preserve">
At least one of the following requirements is met for all for-rent dwelling units, including mixed-use buildings: 
a. 20% or more units are designated for tenants whose incomes are at or below 50% of local Area Median Income (AMI), adjusted for family size.
b. 40% or more units are designated for tenants whose incomes are at or below 60% of local AMI, adjusted for family size.
c. Adherence to locally applicable affordable housing regulations.  
</t>
  </si>
  <si>
    <t xml:space="preserve">
The following requirement is met for all for-rent dwelling units: 
a. Monthly housing costs (including any utility allowances) paid by the tenant are in accordance with those set under the Low-Income Housing Tax Credit (LIHTC) Program based on Section 42 of the Internal Revenue Code.
</t>
  </si>
  <si>
    <t xml:space="preserve">
The following requirements are met:
a. Adoption of a “dig once” principle: all new buildings must install internet cables or fiber optics cables when laying underground lines (e.g., sewer or electricity).
b. All new or retrofitted buildings are fitted with provider-neutral wiring that any internet service carrier can connect to from an access point in or near the building.
</t>
  </si>
  <si>
    <t xml:space="preserve">
The following requirements are met:
a. Network of no-cost Wi-Fi hotspots or zones is available in public spaces.
b. Network covers at least 75% of the public use area owned, operated or managed by the project owner. 
</t>
  </si>
  <si>
    <t xml:space="preserve">
At least two of the following requirements are met:
a. Minimum of one in-person or digital town hall meeting with capabilities for digital participation is held per year.
b. Residents have the right and are encouraged to create a resident and/or tenant association that is independent of project administration. 
c. Residents have the opportunity to engage in participatory budgeting.
d. Residents have the opportunity to participate in citizen advisory boards.
</t>
  </si>
  <si>
    <t xml:space="preserve">
At least one of the following requirements is met:
a. Project maintains a list of volunteer opportunities in the project area and greater community, with a minimum of one opportunity per month open to all community members.  
b. Residents have the opportunity and are encouraged to create a timebank that is supported by the project administration.
</t>
  </si>
  <si>
    <t xml:space="preserve">
The following aspects are included in the project plan:
a. Incorporation of native flora into landscape design throughout the project area. 
b. Installation of public art throughout the project area, including both temporary and permanent installations.
c. Adoption of vernacular design strategies that honor local architecture and material supply. 
d. Designation of sites that celebrate local culture or history.
e. Education of residents and visitors about design and operation elements of the project. 
</t>
  </si>
  <si>
    <t xml:space="preserve">
A narrative describes how the project promotes local retail and institutional cultivation, including a consideration of the following:
a. Serving the target community demographics.
b. Supporting opportunities for locally-owned retail.
c. Fostering health and wellness-oriented retail and institutional offerings.
d. Encouraging food retailers within the project area to purchase goods from local producers.   
e. Encouraging active transportation to everyday services and retail needs.
</t>
  </si>
  <si>
    <t xml:space="preserve">
The project adopts a public arts program and provides a narrative demonstrating the following:
a. Financial support from project for public art projects.
b. Prioritization of the recruitment of local artists for the creation of temporary and permanent works. 
c. Consultation with an art professional in the selection of local artists.655 
</t>
  </si>
  <si>
    <t xml:space="preserve">
Survey results are reported on an aggregated, anonymized basis to the following groups:
a. Project owners and managers.
b. Community residents (upon request).
c. The IWBI, at least once per year. 
</t>
  </si>
  <si>
    <t xml:space="preserve">
The project has achieved certification for one of the following sustainability programs:
a. LEED for Neighborhood Development.
b. Green Star – Communities.
c. BREEAM Communities.
d. Other programs approved by IWBI.
</t>
  </si>
  <si>
    <t>SOUND</t>
  </si>
  <si>
    <t>MATERIAL</t>
  </si>
  <si>
    <t>COMMUNITY</t>
  </si>
  <si>
    <t>INNOVATION</t>
  </si>
  <si>
    <t xml:space="preserve">Annotated Remediation Report and Letters of Assurance – Architect
</t>
  </si>
  <si>
    <t>MNP – Movement Network Planning</t>
  </si>
  <si>
    <t>MNP</t>
  </si>
  <si>
    <t xml:space="preserve">
The building and land use cases listed below are more than 90 m [300 ft] from roads with a speed limit greater than 65 km/hr [40 mph]:
a. At least 75% of dwelling units, measured by unit count.
b. At least 75% of outdoor recreation and congregation areas greater than 0.6 hectare [1.5 acre] including plazas, parks, beaches and playgrounds, measured by acreage.
c. 100% of schools, grades K-12 (elementary, middle, high schools).
</t>
  </si>
  <si>
    <t xml:space="preserve">
At least 75% of all parking spaces (including private, dedicated lots, but not including driveways) use one of the following systems:
a. Unbundle the cost of parking from the affiliated activity, and separately charge at least 50% of the market rate for parking.
b. Provide cash in lieu of free parking worth at least 50% of the market rate for parking.
</t>
  </si>
  <si>
    <t xml:space="preserve">
Water from all (minimum one) drinking water fountains located in public use areas that are owned, managed or maintained by the project owner meets the following limits:
a. Aluminum less than 0.2 mg/L. 
b. Chloride less than 250 mg/L. 
c. Manganese less than 0.05 mg/L. 
d. Sodium less than 270 mg/L. 
e. Sulfate less than 250 mg/L. 
f. Iron less than 0.3 mg/L. 
g. Zinc less than 5 mg/L. 
h. Total Dissolved Solids less than 500 mg/L. 
</t>
  </si>
  <si>
    <t xml:space="preserve">
Public use restrooms owned, managed or maintained by the project owner meet the following requirements:
a. Allow dawn-to-dusk year-round access for all potential visitors.
b. Provide alternatives if the facility is closed for more than one week. 
</t>
  </si>
  <si>
    <t xml:space="preserve">
Public use restrooms owned, managed or maintained by the project owner meet the following requirements:
a. Include at least one sink with a handwashing basin. 
b. Include signage at the sink promoting proper hand washing technique using soap and water for a minimum of 20 seconds.
c. Provide fragrance-free non-antibacterial soap.
d. Provide disposable paper towels (air dryers are not forbidden).
</t>
  </si>
  <si>
    <t xml:space="preserve">
The following are provided at all public use restrooms owned, managed or maintained by the project owner:
a. Sanitary pads or tampons. 
b. Infant changing table. 
c. Syringe drop box.
</t>
  </si>
  <si>
    <t xml:space="preserve">
The cleaning plan for all public use restrooms owned, managed or maintained by the project owner includes the following:
a. The Cleaning Equipment and Training section of Table A4 in Appendix C in the WELL Building Standard.
b. A list of approved product seals with which all cleaning, disinfection and hand hygiene products must comply in accordance with the Cleaning, Disinfection and Hand Hygiene Product section in Table A4 in Appendix C in the WELL Building Standard.
c. A list of high-touch surfaces and schedule of sanitization or disinfection as specified in the Disinfection and Sanitization section in Table A4 in Appendix C in the WELL Building Standard.
d. A cleaning schedule that specifies the extent and frequency of cleaning, including the Entryway Maintenance section of Table A4 in Appendix C in the WELL Building Standard.
e.  Dated cleaning logs that are maintained and available to all occupants.
</t>
  </si>
  <si>
    <t xml:space="preserve">
A narrative describes strategies across the entire project for preventing the off-site discharge of untreated water from all (minimum one) rainfall events up to and including the ninety-fifth percentile storm event that incorporates one or more of the following:
a. Rain gardens, bioretention and infiltration planters.
b. Porous pavements.
c. Vegetated swales and bioswales.
d. Green roofs.
e. Trees and tree boxes.
f. Pocket wetlands.
g. Reforestation/revegetation using native plants.
h. Protection and enhancement of riparian buffers and floodplains.
i. Rainwater harvesting.
</t>
  </si>
  <si>
    <t xml:space="preserve">
Foods and non-alcoholic beverages sold in vending machines owned, operated or managed by the project owner adhere to one of the following:
a. Existing local healthy procurement policy.
b. National Alliance for Nutrition and Activity’s Model Beverage and Food Vending Machine Standards.
c. Healthy procurement policy in compliance with Feature 39 Processed foods in the WELL Building Standard v1.
</t>
  </si>
  <si>
    <t xml:space="preserve">
Foods and non-alcoholic beverages sold in concession stands owned, operated or managed by the project owner adhere to one of the following:
a. Existing local healthy procurement policy.
b. General Services Administration’s Standard Criteria for Food Selection Guidelines in Concessions.
c. Healthy procurement policy in compliance with Feature 38 Fruits and vegetables and Feature 39 Processed foods in the WELL Building Standard v1.
</t>
  </si>
  <si>
    <t xml:space="preserve">
A point-by-point narrative describes how food advertising is addressed within the project boundary, including the following leading concerns:
a. Limiting the marketing and advertising of foods and beverages on building facades, streetscaping, bulletin boards, etc.
b. Promoting local supermarkets, grocery stores, farmers’ markets, CSA share distribution points and/or fruit and vegetable stands. 
</t>
  </si>
  <si>
    <t xml:space="preserve">
An urban agriculture governance and management plan is in place that addresses the following:
a. Management and maintenance of urban agriculture spaces.
b. Training and educational opportunities available for garden users.
c. Provision of planting support for gardens or farms, such as fencing, water systems, secure garden tool storage and other garden bed enhancements.
 </t>
  </si>
  <si>
    <t xml:space="preserve">
Food service establishments owned, operated or managed by the project owner within the project boundary have at least one of the following prominently displayed on-premises and clearly visible to customers entering the establishment:
a. Scoring or letter grading system issued by the local health department.
b. Publicly available food hygiene or sanitary inspection report by the local health department. 
</t>
  </si>
  <si>
    <t xml:space="preserve">
One of the following requirements is met:
a. If prior to development: the entirety of the project is categorized according to the lighting zones defined by the Joint IDA-IES Model Lighting Ordinance (MLO) or by IES/ASHRAE 90.1-2013, Table 9.4.2-1 or any updated versions of the text.
b. If an existing community: lighting zones as defined by the Joint IDA-IES MLO or by IES/ASHRAE 90.1-2013, Table 9.4.2-1 or any updated versions of the text are overlaid onto the entirety of the project, as coordinated with census information, development density and any other relevant metrics such as dwelling units per acre.
</t>
  </si>
  <si>
    <t xml:space="preserve">
For all exterior luminaires in residential areas, one of the following requirements is met:
a. Shielded such that no light emits at or above 90° above nadir. 
b. Allowed total initial luminaire lumens per site, excluding right-of-way lighting, does not exceed the limits established in Table G of the Joint IDA-IES MLO per lighting zone and lighting application as appropriate with the luminaire’s shielding. 
</t>
  </si>
  <si>
    <t xml:space="preserve">
The following average horizontal illuminance levels are met at grade per area type at all interior mass transit stops, as allowable by local code:
a. Station platforms: 430 lux [40 fc].
b. Stairs, elevators and escalators: 270 lux [25 fc].
c. Mechanical rooms and bathrooms: 215 lux [20 fc].
</t>
  </si>
  <si>
    <t xml:space="preserve">
The following average horizontal illuminance levels are met at grade per area type at all exterior mass transit stops, as allowable by local code:
a. Station platforms, covered: 75 lux [7 fc].
b. Station platforms, uncovered: 43 lux [4 fc], with a minimum maintained illuminance of 21 lux [2 fc] at the platform edge.
c. Passenger loading areas (e.g., “kiss and ride”) and bicycle stands: 54 lux [5 fc].
d. Bus-loading zones: 75 lux [7 fc].
e. Outdoor entrances to stairs, elevators and escalators: 108 lux [10 fc].
</t>
  </si>
  <si>
    <t xml:space="preserve">
The articulation of street-facing façades, for buildings owned, operated or managed by the project owner, are designed such that no more than 40% or 15 m [50 ft] (whichever is less) is blank, and incorporate at least two of the following:
a. Street level windows, which allow visibility into the space.
b. Window display cases.
c. Murals or other artistic installations.
d. Biophilic and other landscape elements.
e. Mixed building textures, colors and/or other design elements.
</t>
  </si>
  <si>
    <t xml:space="preserve">
At least two of the following are present at regular intervals along at least 75% of the total existing and/or planned block length (driveways and service entryways are exempt from block length calculations):
a. Permanent and/or movable seating furniture.
b. Trees, planters and/or other landscaped/biophilic elements.
c. Natural (e.g., landscape elements such as trees) or man-made shading devices intended to block direct sunlight and glare.
d. Artistic installations.
</t>
  </si>
  <si>
    <t xml:space="preserve">
At least one of the following requirements is met:
a. Project boundary has a minimum Bike Score™ of 50.
b. 75% of all buildings are within 400 m [0.25 mi] cycling distance of an existing or planned (with funding commitments) bicycle network that connects riders to at least 10 diverse uses that are within a 4.8 km [3 mi] cycling distance.
c. 50% of all buildings are located on streets with an existing or planned (with funding commitments) bicycle network that connects riders to at least 10 diverse uses that are within a 4.8 km [3 mi] cycling distance.
d. Projects commit to bicycle lane conversion by the time of recertification (with funding commitments): 
• 10% of conventional bicycle lanes are converted to separated bicycle lanes or protected bicycle lanes.
• 25% of streets with a shared lane environment (i.e., include no designated bicycle lane) are converted to include a conventional, separated or protected bicycle lane(s).
</t>
  </si>
  <si>
    <t xml:space="preserve">
The following requirement is met for buildings owned, operated or managed by the project owner:
a. Where no designated indoor bicycle parking space/area can be accommodated or existing spaces are fully occupied, policy is in place that allows occupants to bring personal bicycles inside the building and utilize elevators (or freight elevators) to transport bicycles between floors.
</t>
  </si>
  <si>
    <t xml:space="preserve">
The bicycle share program is promoted through two of the following strategies:
a. Occupants of buildings owned, contracted, or managed by the project owner receive a no-cost or discounted trial membership (e.g., day pass) or a similar trial incentive.
b. Occupants of buildings owned, contracted or managed by the project owner receive a meaningful subsidy toward an annual membership.
c. Mixed-media messaging and/or programming events offered at least once per quarter.
</t>
  </si>
  <si>
    <t xml:space="preserve">
A point-by-point narrative describes the following considerations:
a. How existing or planned built environment elements contribute to community wayfinding (e.g., landmarks, architectural focal points and sight lines). 
b. How the project determines the type(s), quantity and placement of wayfinding signage that will be used within the project boundary.
c. Which entities are responsible for inspecting and maintaining the integrity of wayfinding infrastructure.
</t>
  </si>
  <si>
    <t xml:space="preserve">
Fitness programming (at one or more locations) is offered and meets the following:
a. Accessible within an 800 m [0.5 mi] walk distance of 75% of all dwelling units.
b. Offered at no-cost or for a nominal fee.
c. Offered at least once every three months.
d. Directed by qualified staff or personnel.
e. Includes diverse physical activity programming and/or instruction that is friendly for diverse age and ability types (e.g., yoga, aerobics, strength-training, aquatics, fitness education and other group fitness classes).
</t>
  </si>
  <si>
    <t xml:space="preserve">
The following requirement is met:
a. A public education and outreach plan is in place to communicate ways to protect against the indoor and outdoor impacts of extreme weather before, during and after heat waves and cold spells, with particular focus on communicating to the elderly, children, mobility-restricted individuals and low-income households.
</t>
  </si>
  <si>
    <t xml:space="preserve">
Emergency heat lines are operated for community members to receive information on at least the following: 
a. Symptoms of heat stress and other heat-related morbidities.
b. Available heat-related services and resources in the community.
</t>
  </si>
  <si>
    <t xml:space="preserve">
The following requirements are met:
a. Community education initiatives are planned in collaboration with local organizations throughout the year on symptoms of heat stress and necessary measures to help protect the health and well-being of vulnerable populations, including the elderly, children, mobility-restricted individuals, outdoor workers and low-income households.  
b. Specific community members are designated responsible for performing checks during heat waves on vulnerable populations, including the elderly, children, mobility-restricted individuals and low-income households.
</t>
  </si>
  <si>
    <t xml:space="preserve">
One of the following requirements is met:
a. Educating homeowners, building managers and other stakeholders who can improve the energy efficiency of buildings (e.g. through retrofit programs) about the long-term financial and health benefits of various interventions.
b. Improving community cohesion by enabling a dialogue between citizens, policy makers and various professionals involved with cold adaptation, such as public health workers and emergency planners.
</t>
  </si>
  <si>
    <t xml:space="preserve">
For 50% or more of pedestrian-accessible street segments in the project and for 50% of roadways in the project, one or more of the following is met:
a. Sidewalks provide shade with trees or with architectural devices or structures that have a three-year aged solar reflectance (SR) value of at least 0.28, or an initial SR of at least 0.33 at installation.
b. Roads use paving materials with a three-year aged solar reflectance (SR) value of at least 0.28, or initial SR of at least 0.33 at installation.
</t>
  </si>
  <si>
    <t xml:space="preserve">
One of the following requirements is met using trees and landscaping appropriate to the climate:
a. 25% or more of paved surfaces area as measured across the entirety of the project boundary including roads, pedestrian-accessible street segments and parking lots are covered within 15 years of construction by tree canopy. 
b. 25% or more of road length as measured across the entirety of the project boundary with more than one lane in each direction is separated by a line of trees.
</t>
  </si>
  <si>
    <t xml:space="preserve">
A combination of the following requirements is met for all playgrounds, sports fields, courtyards and public squares or plazas:
a. 10% or more of the area is covered with horizontal or vertical vegetation.
b. 10% or more  of existing walls and other infrastructure are adapted to support vines or other types of green wall vegetation.
</t>
  </si>
  <si>
    <t xml:space="preserve">
Recreation areas that are owned, operated or managed by the project owner that charge admission for the expressed purpose of tourism or leisure activity where patrons are exposed to direct sunlight for an extended period meet one of the following requirements: 
a. Offer broad spectrum UV protection at no cost, with a minimum sun protection factor (SPF) of 15 for times with least 50% of anticipated occupancy.
b. Solar shades, umbrellas, tree canopies and other natural or artificially shaded areas that can provide coverage for at least 25% of anticipated occupancy. 
</t>
  </si>
  <si>
    <t xml:space="preserve">
A noise ordinance (e.g., existing municipal code, community bylaw, self-imposed policy) defines, at minimum, the following requirements:
a. Maximum allowable sound levels by receiving land use.
b. Prohibited acts, including time period restrictions for allowable noise from sources such as traffic, industry, commercial establishments and residential dwellings.
c. Exceptions and variances.
d. Enforcement duties.
 </t>
  </si>
  <si>
    <t xml:space="preserve">
At least one of the following hearing protection programs is implemented:  
a. No cost hearing protection device (HPD) (such as earplugs) distribution programs in all indoor and outdoor venues owned, managed or contracted by the project owner where sounds levels exceed a four-hour time-weighted average sound level of 95 dBA.
b. Hearing conservation programs in all occupational settings where eight-hour time-weighted average sound level is 85 dB or higher.
</t>
  </si>
  <si>
    <t xml:space="preserve">
A waste stream management narrative and plan focusing on waste diversion is developed and applied demonstrating the below hierarchy, or (if applicable) local plan cited:
a. Waste or source reduction (including prevention, minimization and reuse).
b. Recycling and materials recovery.
c. Disposal (including incineration).
</t>
  </si>
  <si>
    <t xml:space="preserve">
Pressed wood and wood chip materials used in playgrounds and parks owned, managed or operated by the project owner meet the following conditions: 
a. Wood or wood mulch containing chromated copper arsenate (CCA) is not used.
b. Wood containing chromated copper arsenate (CCA) is replaced with an alternative per regulations/guidelines in Table MA1. 
c. CCA wood structures that cannot be removed or replaced must be treated with oil based semi-transparent stain to minimize leaching of arsenic per regulations/guidelines in Table MA1. 
</t>
  </si>
  <si>
    <t xml:space="preserve">
The following conditions are met for outdoor areas owned, managed or operated by the project owner per regulations/guidelines in Table MA1:
a. A plan for non-pesticide based pest management is applied.
b. Only pesticides with low hazard tier rankings are used. 
</t>
  </si>
  <si>
    <t xml:space="preserve">
At least one of the following mental health crisis services is available: 
a. Emergency crisis services (e.g., mobile mental health crisis teams).     
b. 24-hour crisis telephone line, chat or text services.
</t>
  </si>
  <si>
    <t xml:space="preserve">
A plan includes the following information:  
a. Identification of suicide hotspots within the project boundary, if any.
b. Design interventions that limit access to identified hotspots (e.g., installation of physical interventions, such as bridge barriers, nets or fencing).
c. Design interventions at identified hotspots that encourage crisis help-seeking (e.g., implementation of signage indicating 24-hour crisis hotlines and language that encourages distressed individuals to seek help).
</t>
  </si>
  <si>
    <t xml:space="preserve">
A narrative and design plan detail how green spaces contain the following:
a. Minimum of 70% plantings, including tree canopies, verdant foliage or other visually stimulating plantings, such as bushes, flower beds and/or grass.
</t>
  </si>
  <si>
    <t xml:space="preserve">
A point-by-point narrative describes how the project engages stakeholders in project design and development through each of the following: 
a. Identification of stakeholder groups, including people from outside the project boundaries who are impacted by the project as well as anticipated users of the space.
b. Consideration of barriers to stakeholder participation, including timing, location, format and cultural norms or values.
c. Culturally, literacy- and numeracy-level appropriate communication strategies.
d. Discussion of project scope (including limitations) and goals with stakeholders, including discussion of HIA screening (if Feature HIA – Health Impact Assessment Screening is pursued).
e. Record of response to stakeholder feedback on the project plan.
f. Monitoring and evaluation of project development with stakeholders.
</t>
  </si>
  <si>
    <t xml:space="preserve">
If the screening process (Feature HIA – Health Impact Assessment Screening) has established the need and feasibility of an HIA, a point-by-point narrative demonstrates completion of the following key HIA processes (for further guidance see Appendix C2: HIA Protocol): 
a. Scope, including at least one community stakeholder meeting.
b. Assessment, including incorporating baseline findings from the community health profile completed (Feature HIA – Health Impact Assessment Screening).
c. Recommendations, including at least one community stakeholder meeting.
d. Communication and dissemination of HIA findings.
e. Monitoring and evaluation.
</t>
  </si>
  <si>
    <t xml:space="preserve">
The project hosts or permits residents, employers, businesses and organizations to host no-cost entry events at least once per quarter such as, but not limited to, the following:
a. Block party or neighborhood association event.
b. Cultural festival.
c. Celebration of a community milestone.
d. Community-wide service day.
e. Arts festival.
f. Street fair.
g. Food festival.
h. Carnival or fair.
</t>
  </si>
  <si>
    <t xml:space="preserve">
An electronic database or resource list is available that contains culturally and literacy level-appropriate information related to each of the following:
a. Vaccination.
b. Maternal and child health.
c. Adolescent health.
d. Sexual and reproductive health.
e. Parenting and caregiving.
f. Substance use, abuse and dependency. 
g. Mental health, including suicide prevention hotlines.
h. Interpersonal violence.
i. Financial education or health. 
j. Employment readiness.
k. Basic life skills education.
l. Any other health condition identified in the community health needs assessment (Part 1 of this Feature). 
</t>
  </si>
  <si>
    <t xml:space="preserve">
All newly constructed multi-family residential buildings with at least five units (including mixed-use buildings with residences) owned, managed or operated by the project owner meet the following:
a. All entrances and public common use areas comply with U.S. Fair Housing Act Accessibility Requirements for Multifamily Housing or local equivalent.
</t>
  </si>
  <si>
    <t xml:space="preserve">
At least 90% of multi-family residential buildings with at least five units (including mixed-use buildings with residences) owned, managed or operated by the project owner design a minimum of 20% (and not fewer than one) of its units in accordance with the following:
a. LEED ND v4 Visitability and universal design Option 1.
</t>
  </si>
  <si>
    <t xml:space="preserve">
For all residences in the project, the following are prohibited on the basis of race, color, national origin, religion, sex, familial status, handicap, sexual orientation or any other characteristic deemed a protected class: 
a. Refusal of renting or selling housing.
b. Refusal of housing negotiation.
c. Making housing unavailable.
d. Denying a dwelling.
e. Setting uniquely different terms, conditions or privileges related to the sale or rental of housing.
f. Providing uniquely different housing services or facilities.
g. Falsely denying that housing is available for inspection, sale or rent.
h. Persuading owners to sell or rent.
i. Denying access to a facility or service related to the sale or rental of housing.
</t>
  </si>
  <si>
    <t xml:space="preserve">
At least one of the following requirements is met:
a. All dwelling units are within an 800 m [0.5 mi] walk distance of a voting station.
b. Vans, shuttles or alternative enhanced transport to voting stations are provided on voting days.
</t>
  </si>
  <si>
    <t xml:space="preserve">
The following requirements are met:
a. All buildings or landscapes protected by federal, state and local historic or heritage preservation programs are left intact.
b. Consultation with local historic association or governing body for long term plans for buildings or landscapes protected by federal, state and local historical or heritage preservation programs, including understanding rehabilitation needs and community constituency.
</t>
  </si>
  <si>
    <t xml:space="preserve">
A representative sample of at least 30% of occupants are surveyed annually (starting within one year of achieving 50% occupancy) on the following topics:
a. Physical environmental quality, including air, water, light, acoustics and thermal comfort.
b. Social environment, including social programming, quality of life and perceived safety. 
c. Community design, including access to services and amenities. 
</t>
  </si>
  <si>
    <t xml:space="preserve">
The proposed feature meets the following requirements:
a. Relates to human health and wellness in a novel way that is not already covered in the WELL Community Standard.
b. Identifies the intent, proposed requirements for performance verification and the design approach or strategies used to meet the requirements. 
</t>
  </si>
  <si>
    <t xml:space="preserve">
The proposed feature is supported by the following:
a. Existing scientific, medical and industry research that is consistent with applicable laws, regulations and leading practices in community design and management.
</t>
  </si>
  <si>
    <t>HFO – Healthy Food Procurement</t>
  </si>
  <si>
    <t>WELL Community Standard Pilot</t>
  </si>
  <si>
    <t>Yes</t>
  </si>
  <si>
    <t>FSE – Food Security (1 of the 2 parts is required)</t>
  </si>
  <si>
    <t>LTR – Light Trespass Mitigation for Sleep (1 of the 2 parts is required)</t>
  </si>
  <si>
    <t>TOTAL OPTIMIZATIONS</t>
  </si>
  <si>
    <t xml:space="preserve">
Wayfinding signage is present and includes the following:  
a. Forward-facing street map that includes street names.
b. Basic cardinal directions.
c. Designation of bicycle routes.
d. Identification and location of, distance to and/or time to key community focal points such as those within an 800 m [0.5 mi] walk distance or bicycle ride.
</t>
  </si>
  <si>
    <t xml:space="preserve">
An emergency planning and preparedness policy addresses relevant threats to the project (e.g., natural disasters and health emergencies) and achieves the following:
a. Identifies the unique health risks of the population within the project boundary (may include an assessment of the larger geographic area outside the project boundary, so long as the project boundary is included in that geographic unit).
b. Builds partnerships to support preparedness (e.g., Red Cross and a local emergency response unit).
c. Engages with community organizations to foster supportive resource networks (e.g., food banks and local health departments).
d. Coordinates training and promotes community engagement in preparedness (e.g., emergency response training or drills at local schools and workplaces).
</t>
  </si>
  <si>
    <t>No</t>
  </si>
  <si>
    <t>Maybe</t>
  </si>
  <si>
    <t>Select number of proposals below (1-10)</t>
  </si>
  <si>
    <t>Count "Maybe" and "Pending PV" as</t>
  </si>
  <si>
    <t>points achieved</t>
  </si>
  <si>
    <t>CERTIFIED BUILDINGS</t>
  </si>
  <si>
    <t>Certified Buildings</t>
  </si>
  <si>
    <t>Proportion of certified buildings by count</t>
  </si>
  <si>
    <t>Number of certified buildings owned, operated or managed by project owner within project</t>
  </si>
  <si>
    <t>Total number of buildings owned, operated or managed by project owner within project</t>
  </si>
  <si>
    <t>Cumulative area of certified buildings owned, operated or managed by project owner within project</t>
  </si>
  <si>
    <t>Cumulative area of all buildings owned, operated or managed by project owner within project</t>
  </si>
  <si>
    <t>Proportion of certified buildings by area</t>
  </si>
  <si>
    <t>Percent certified</t>
  </si>
  <si>
    <t>points</t>
  </si>
  <si>
    <t>Points from Cert bldg O/O/M by project owner</t>
  </si>
  <si>
    <t># cert</t>
  </si>
  <si>
    <t>points looking at min number</t>
  </si>
  <si>
    <t>points looking at percent</t>
  </si>
  <si>
    <t>Points awarded from certified buildings owned, operated or managed by project owner within project</t>
  </si>
  <si>
    <t>Total points awarded from health and wellness certified buildings (maximum 30)</t>
  </si>
  <si>
    <t>Green Rating Systems</t>
  </si>
  <si>
    <t>Number of certified buildings (buildings with green and health/wellness certifications may count for both)</t>
  </si>
  <si>
    <t>Total points awarded from green certified buildings (max 10, not to exceed 30 total from green and health/wellness)</t>
  </si>
  <si>
    <t>Points from health/wellness certified buildings (max 30)</t>
  </si>
  <si>
    <t>Points from green certified buildings (max 10)</t>
  </si>
  <si>
    <t>Certified Buildings (30 pts possible)</t>
  </si>
  <si>
    <t>-</t>
  </si>
  <si>
    <t>TOTAL POINTS FROM CERTIFIED BUILDINGS (MAX 30)</t>
  </si>
  <si>
    <t>Health and Wellness Rating Systems</t>
  </si>
  <si>
    <t>MATERIALS</t>
  </si>
  <si>
    <t>Precondition</t>
  </si>
  <si>
    <t>Optimization</t>
  </si>
  <si>
    <t>Certification Cap</t>
  </si>
  <si>
    <t>True status</t>
  </si>
  <si>
    <t>Certification Level</t>
  </si>
  <si>
    <t>Points required</t>
  </si>
  <si>
    <t>Table 1</t>
  </si>
  <si>
    <t>ALC – Alcohol Environment</t>
  </si>
  <si>
    <t>PRI – Access to Primary Health Care</t>
  </si>
  <si>
    <t xml:space="preserve">
At least one of the following programs, policies or conditions is met to facilitate access to a general medicine health care facility: 
a. Facility is located within an 800 m [0.5 mi] walk distance or 20-minute mass transit ride of the project boundary.
b. Facility transport services are provided through at least one of the following: non-emergency medical transportation services, mass transit discounts, shuttle services, parking or taxi vouchers or others means of facilitated access. 
</t>
  </si>
  <si>
    <t>Alcohol Environment</t>
  </si>
  <si>
    <t>Access to Primary Health Care</t>
  </si>
  <si>
    <t>One Opt per concept?</t>
  </si>
  <si>
    <t>(if PV/Maybe counted as Yes)</t>
  </si>
  <si>
    <t>(if only Yes counted as Yes)</t>
  </si>
  <si>
    <t>(as selected)</t>
  </si>
  <si>
    <t xml:space="preserve">
The following requirements are met:
a. At least two electric vehicle charging stations are present at all parking lots and garages that contain at least 400 spaces. 
b. Priority parking is available for low-emission vehicles rated at a minimum green score of 45 on the American Council for an Energy Efficient Economy (ACEEE). Number of priority parking spaces is equal to disabled/accessible parking spaces and they are located within 30 m [100 ft] of each other. Spaces with electric vehicle charging stations may be counted in this number.
c. At least 75% of light duty vehicles operated by the project are rated at a minimum green score of 45 on the American Council for an Energy Efficient Economy (ACEEE).
</t>
  </si>
  <si>
    <t xml:space="preserve">
A radon risk communication program is in place that: 
a. Communicates the local risk for presence of radon and identifies potential areas of likely exposure.
b. Outlines measurement methods and prevention measures.
</t>
  </si>
  <si>
    <t>Part 2: Disinfectant By-products</t>
  </si>
  <si>
    <t xml:space="preserve">
The following requirements are met in public use spaces owned, managed or contracted by the project owner:
a. Drinking water fountains are available with at least one fountain per 800 m [0.5 mi] radius.
b. Drinking water fountains are available at least every 1.6 km [1.0 mi] on all designated walking and/or running routes.
c. All newly installed drinking water fountains are available for use year-round.
d. All newly installed drinking water fountains are universally designed. 
</t>
  </si>
  <si>
    <t xml:space="preserve">
The following requirements are met in public use spaces owned, managed, or operated by the project owner:
a. Water bottle-refilling stations are present in high-traffic outdoor public spaces, including parks, playgrounds and outdoor recreational activity spaces.
b. All newly installed drinking water fountains are designed for water bottle-refilling.
</t>
  </si>
  <si>
    <t xml:space="preserve">
One of the following requirements is met:
a. Sanitary sewage and stormwater are consistently conveyed through separate pipes.
b. All combined sewer systems (CSS) are separated into discrete stormwater and sanitary sewer systems with stormwater outfalls designed to discharge into receiving water bodies.
c. Combined sewer systems have sufficient treatment and retention capabilities to avoid any overflow events. 
 </t>
  </si>
  <si>
    <t>AGR – Urban Agriculture I, Provision</t>
  </si>
  <si>
    <t>AGP – Urban Agriculture II, Promotion</t>
  </si>
  <si>
    <t>Urban Agriculture I, Provision</t>
  </si>
  <si>
    <t>Urban Agriculture II, Promotion</t>
  </si>
  <si>
    <t xml:space="preserve">
At least one of the following requirements is met:
a. Breastfeeding information, resources or instruction classes are offered at a community center or other public use space within the project boundary.
b. Breastfeeding information, resources or instruction classes are offered through a partnership with a local or regional breastfeeding support organization or group.
c. Designated meeting or programming space for peer support groups is available in an easily accessible location within the project boundary.
d. A resource directory of local breastfeeding facilities or lactation support services that are available to new mothers is publicized and offered in print or online.
e. A hospital or birthing center located within the project boundary or within an 8 km [5 mi] radius has achieved Baby-Friendly® designation.
 </t>
  </si>
  <si>
    <t xml:space="preserve">
Except as required by code and excluding cases of outdoor lighting where only one luminaire is present, lights are motion-activated, are in use for a 24-hour establishment or event or are in use for signage for safety or navigation purposes, a project-wide lighting curfew time is established after which point the following requirement is met:
a. Total outdoor luminaire lumens, as measured across the entirety of the project, are reduced by at least 30% (including by dimming or switching off).
</t>
  </si>
  <si>
    <t xml:space="preserve">
The following requirement is met as allowable by code for all roadway signage that does not use reflective materials:
a. Achieves a maintained vertical illuminance of 200 lux [18 fc].
b. Employs downlighting strategies to illuminate signage. 
</t>
  </si>
  <si>
    <t xml:space="preserve">
One of the following requirements is met:
a. For roadways of medium to high driving speeds such as all highways and freeways: veiling luminance ratio of 0.3.
b. For roadways of low driving speeds, such as all alleys, residential roads, pedestrian streets, roads in school zones and bicycle lanes: veiling luminance ratio of 0.4.
</t>
  </si>
  <si>
    <t xml:space="preserve">
The following requirements are met:  
a. At least 50% of dwelling units are located within a 400 m [0.25 mi] walk distance of at least four use categories defined in Appendix F1. For projects with no dwelling units, at least four use categories defined in Appendix F1 are present within the project boundary.
b. At least 75% of dwelling units are located within an 800 m [0.5 mi] walk distance of at least four use categories defined in Appendix F1. 
</t>
  </si>
  <si>
    <t xml:space="preserve">
A policy is in place that addresses and identifies the following:
a. A maintenance commitment and entities responsible for inspection and maintenance of bicycle lanes and applicable infrastructure for cyclists including the following: 
• Minor repairs (e.g., repairing surface cracks or uneven surfaces).
• Major repairs (e.g., breaking ground).
• Snow and/or ice removal, as applicable.
</t>
  </si>
  <si>
    <t xml:space="preserve">
At least one of the following is met: 
a. At least 50% of mass transit stations (rail, bus and/or ferry stations) have no-cost, public use and secure short-term bike parking facilities present within 30 m [100 ft] of the station’s main entrance and/or boarding area. 
b. At least 75% of mass transit stations are within 400 m [0.25 mi] of a public use and secure long-term bicycle parking facility.
c. A policy is developed or adopted so that mass transit users may bring bicycles on-board during select hours of operation.
d. At least 25% of the aboveground transit fleet (e.g., buses, aboveground light rail, trollies) is fitted with on-board (interior or exterior) bicycle racks that cyclists may use during all hours of operation.
</t>
  </si>
  <si>
    <t xml:space="preserve">
At least two of the following are available for public use (at no-cost) within an 800 m [0.5 mi] walk distance of all residential buildings:
a. Park or green space.
b. Plaza.
c. Athletic field and/or court.
d. Trail network.
e. Blue space.
f. Play space geared toward children (e.g., playground).
g. Fitness zone that includes all-weather fitness equipment.
h. Colocated adult and child physical activity space (e.g., a playground with an adult fitness zone).
</t>
  </si>
  <si>
    <t xml:space="preserve">
One of the following requirements is met when heat warnings are issued as described in the Feature EXT – Extreme Weather Warnings: 
a. Planned upcoming utility shutoffs are temporarily suspended.
b. Cooling assistance is provided for energy use in low-income households.
</t>
  </si>
  <si>
    <t xml:space="preserve">
One of the following requirements is met when cold warnings are issued as described in the Feature EXT – Extreme Weather Warnings:
a. Planned upcoming utility shutoffs are temporarily suspended. 
b. Financial aid is provided for energy use in low-income households.
</t>
  </si>
  <si>
    <t xml:space="preserve">
75% of all non-occupiable or non-mechanical rooftops (excluding areas with photovoltaic installations) owned, operated or managed by the project owner meet one or more of the following:
a. Uses a green roof system that includes at least a 2-inch covering of hardy groundcover.
b. Low-sloped roofs (slope ≤ 2:12) have a three-year aged solar reflectance index (SRI) of 64, or an initial SRI of 82.
c. Steep sloped roofs (slope &gt; 2:12) have a three-year aged SRI of 32, or an initial SRI of 39.
</t>
  </si>
  <si>
    <t xml:space="preserve">
A narrative describes how noise compatible development (siting facilities and properties so that their uses and sound priorities complement one another) within the following areas (as applicable) is utilized to maximize acoustic comfort:
a. Industrial facilities.
b. Commercial facilities.
c. Public service facilities.
d. Community service facilities.
e. Residential properties.
f. Multiuse properties.
g. Public and private right-of-ways.
h. Public spaces.
</t>
  </si>
  <si>
    <t>HWM – Hazardous Waste Management</t>
  </si>
  <si>
    <t>Hazardous Waste Management</t>
  </si>
  <si>
    <t xml:space="preserve">
Project provides access to an electronic resource database with complete information on the storage, use and handling of hazardous substances reportable by local code:
a. Within the project boundary.  
b. Outside the project boundary for chemicals considered toxic by inhalation, and whose “isolation and protective action distances”, according to the U.S. Department of Transportation’s Emergency Response Guidebook, or local equivalent, cross the project boundary with consideration of potential day and nighttime atmospheric conditions.
</t>
  </si>
  <si>
    <t xml:space="preserve">
Specialized substance abuse and addiction services are located within a 20-minute mass transit ride or 1.6 km [1 mi] walk distance of the project boundary, including at least two of the following:
a. Specialized programs and outreach tailored to the needs of identified at-risk populations.
b. Community care and support for affected individuals and their families. 
c. Gender-specific programs that address challenges commonly faced among women struggling with substance abuse and addiction (e.g., pregnancy/breastfeeding, accessibility due to childcare needs).
d. Adolescent or youth-specific programs.
</t>
  </si>
  <si>
    <t xml:space="preserve">
Services and support programs are located within a 20-minute mass transit ride or 1.6 km [1 mi] walk distance of the project boundary and include at least two of the following:
a. Safety planning assistance.
b. Temporary, safe accommodation (e.g., women’s shelters, family shelters).
c. Communication regarding or linkages to temporary, safe housing services.
d. Priority preference on waiting lists for stable, affordable housing.
e. Communication regarding or linkages to stable, affordable housing service providers.
f. Legal assistance and referrals for obtaining protection orders.
g. Support applying for public assistance (e.g., housing subsidies).
h. Counseling and support groups for survivors and children.
i. Crisis counseling or hotlines (mass transit and distance requirements do not apply).
</t>
  </si>
  <si>
    <t xml:space="preserve">
A narrative describes the planting and placement of streetscape greenery along roadways within the project boundary, including consideration of:
a. Deliberate spacing of streetscape greenery.
b. Environmental equity.
c. Areas with high population density and low preexisting tree cover.
</t>
  </si>
  <si>
    <t xml:space="preserve">
A design plan and narrative describes how play spaces meet one of the following: 
a. Seven C’s of Young Children’s Outdoor Play Spaces (Appendix MI1).
b. Head Start Body Start Play Space Assessment (Appendix MI1).
</t>
  </si>
  <si>
    <t xml:space="preserve">
A narrative for the preservation and management of scenic views and resources within the project boundary includes consideration of: 
a. How a proposed subdivision, land development or permit action near a designated scenic resource will work to avoid, minimize and/or mitigate negative scenic impacts.
b. Protection of natural scenic resources, such as local farmland, timberland, pastures or open space.
c. Protection of private land that benefits the local community, such as maintaining a scenic view.
</t>
  </si>
  <si>
    <t xml:space="preserve">A narrative identifies the people who will potentially be affected by the project and defines the potential health impacts of the project to that community through the following (see Appendix C1: Health Impact Assessment (HIA) Screening):
a. Community health profile consisting of the geographic boundaries, socio-demographic characteristics and health needs of the affected community (note: can be sourced from a community health needs assessment, local public health department data or other reputable source).
b. Description of a screening process that indicates the need and feasibility of conducting an HIA.
</t>
  </si>
  <si>
    <t>PUB – Public Spaces</t>
  </si>
  <si>
    <t>Public Spaces</t>
  </si>
  <si>
    <t xml:space="preserve">
A point-by-point narrative demonstrates plans for the following:
a. Completion or identification of a community health needs assessment that identifies the local burden of disease (including the top five causes of morbidity and mortality) in the project’s municipality or county. 
b. Creation and dissemination of multichannel health campaigns that include programming and education developed to address the environmental design and lifestyle factors that contribute to the top five causes of morbidity and mortality in the project.
c. Evaluation of the campaigns to assess outcomes and impact. 
</t>
  </si>
  <si>
    <t xml:space="preserve">
A recovery policy addresses recovery, adaptation and/or regrowth and considers the following: 
a. Recovery needs and monitoring of various public health, medical, mental and behavioral health systems and resources.
b. Coordination of recovery efforts among public health, medical, mental and behavioral health systems.
c. Efforts to mitigate damages in future incidents.
</t>
  </si>
  <si>
    <t xml:space="preserve">
A point-by-point narrative outlines how at least three of the following requirements of the CPTED framework are incorporated in the design and/or operation of spaces owned, operated or managed by the project owner:
a. Natural surveillance – spatial design and placement of physical elements to increase visibility within and around a space.
b. Natural access management – landscape and wayfinding elements that help define and guide community members throughout space.
c. Space delineation – physical and environmental attributes that help define space and express a positive sense of ownership.
d. Activity support – planning and placing community social activities in public spaces.
e. Physical maintenance – general upkeep plan for buildings and public spaces that includes activities such as landscaping and trash maintenance.
f. Order maintenance – prevention and remediation plan for vandalism and property damage.
g. Social capital – designated gathering areas, community programs or events that foster social trust and positive collective action regarding community safety.
</t>
  </si>
  <si>
    <t>(This part is automatically calculated.)</t>
  </si>
  <si>
    <t xml:space="preserve">
The following requirements are met for public interactive water features or fountains:
a. The initial water supply of all water features is potable water.
b. The water distribution system is protected by a high-hazard backflow preventer.
c. Hose bibs are protected with a vacuum beaker.
d. Filter backwash water or drainage water is treated as wastewater and disposed of accordingly.
</t>
  </si>
  <si>
    <t xml:space="preserve">
Water from all (minimum one) outdoor drinking water fountains located in public use areas meets the following limits:
a. Fluoride between 0.7 and 4.0 mg/L.
</t>
  </si>
  <si>
    <t xml:space="preserve">
Bodies of water, if any, where a large number of people are expected to swim (not including swimming pools or artificially created bodies of water) are tested (with reports submitted annually to the IWBI) with the following parameters:
a. Publicly accessible inland waters: total coliforms (including E. coli) do not exceed 500 cfu/100 mL.
b. Publicly accessible coastal and transitional waters: total coliforms (including E. coli) do not exceed 250 cfu/100 mL.
c. Water sampling occurs at minimum every two weeks.
</t>
  </si>
  <si>
    <t xml:space="preserve">
The following limits are met for public interactive water features or fountains:
a. Free available chlorine: 3.0 to 5.0 ppm; or Bromine: 5.5 to 7.5 ppm.
b. Cyanuric acid in outdoor facilities: 20 ppm.
c. Cyanuric acid in indoor facilities: 0.0 ppm.
d. pH level: 6.5-9.5. 
</t>
  </si>
  <si>
    <t xml:space="preserve">
For all non-residential outdoor lighting, one of the following requirements is met:
a. The allowed total installed initial luminaire lumens per site, excluding right-of-way-lighting, does not exceed the limits established in Table A of the Joint IDA-IES MLO.
b. The allowed total installed initial luminaire lumens per site, excluding right-of-way lighting, does not exceed the limits established in Table B of the Joint IDA-IES MLO, with no more than two additional lumen allowances in Table B.
c. The maximum vertical illuminance does not exceed the limits established by Section IV Option B of Joint IDA-IES MLO.
</t>
  </si>
  <si>
    <t xml:space="preserve">
One of the following is met:
a. The findings from Part 1: Transportation Analysis have impacted transportation planning within the project master plan.
b. For projects that do not have purview over the transportation network, the findings from Part 1: Transportation Analysis have been shared with the local Department of Transportation (or equivalent), including a summary of proposals made and an explanation of why the project was unable to incorporate transportation safety elements into the project master plan.
</t>
  </si>
  <si>
    <t xml:space="preserve">
Essential mental health services are available and located within a 20-minute mass transit ride or 1.6 km [1 mi] walk distance of the project boundary, including at least two of the following:
a. Inpatient hospital treatment.
b. Outpatient counseling services.
c. Intensive case-management.
d. Partial hospitalization programs.
e. Rehabilitation services (e.g., day centers, clubhouses).
f. Therapeutic group homes or supervised residential services.
g. Hospital diversion programs.  
h. Emergency crisis services (e.g., mobile mental health crisis teams).
i. Telemental health programs (mass transit and distance requirements do not apply).
</t>
  </si>
  <si>
    <t>The WELL Community Standard™ pilot is organized into ten categories of wellness called concepts: Air, Water, Nourishment, Light, Fitness, Temperature, Sound, Materials, Mind and Community. Each concept is comprised of multiple features, which are intended to address specific aspects of occupant health, comfort or knowledge. Each feature is divided into parts, which are often tailored to a specific building type. Within each part are one or more requirements, which dictate specific parameters that must be met. Satisfying a feature usually requires that all relevant parts of that feature are met, except in select cases when described otherwise. 
There are three levels of certification in the WELL Community Standard, each corresponding to a minimum point threshold, as shown in Table 1 at right. Precondition features are necessary for all levels of WELL Community Certification and do not carry points. Optimization features are worth one point each (100 points total, plus 10 for Innovation) and provide WELL community projects a flexible way to achieve certification. In addition, projects must achieve at least one optimization in every concept. 
Projects also may earn up to 30 points for containing buildings certified under qualifying health/wellness and green rating systems. See the WELL Community Standard section on certified buildings for more information.</t>
  </si>
  <si>
    <t xml:space="preserve">
Renovation or demolition of buildings owned, operated or managed by the project owner constructed prior to any applicable laws banning or restricting asbestos, testing, evaluation and abatement is conducted in accordance with the following guidelines:
a. An on-site investigation of the space is conducted by a certified risk assessor or inspector technician to determine the presence of asbestos hazards per standard(s) in Table MA1.
b. All spaces determined to contain asbestos hazards must adhere to work practice standards for conducting asbestos abatement activities, as outlined in Table MA1. 
</t>
  </si>
  <si>
    <t xml:space="preserve">
Renovation or demolition of buildings owned, operated or managed by the project owner constructed or renovated between 1950 and the institution of any applicable laws banning or restricting PCBs carry out the following: 
a. Conduct evaluation and abatement of materials in accordance with regulations/guidelines in Table MA1.
b. Conduct removal and safe disposal of PCB-containing fluorescent light ballasts in accordance with regulations/guidelines in Table MA1. 
</t>
  </si>
  <si>
    <t xml:space="preserve">
Renovation or demolition of buildings owned, operated or managed by the project owner identify and collect all mercury-containing equipment and devices for recycling in accordance with the following guidelines: 
a. Conduct evaluation and abatement of materials in accordance with regulations/guidelines in Table MA1.
b. Conduct removal and safe disposal of all mercury-containing equipment and devices in accordance with regulations/guidelines in Table MA1. 
</t>
  </si>
  <si>
    <r>
      <t xml:space="preserve">
The following requirements are met:
a. At least one public use restroom within 1 km [0.6 mi] of each park 4,000 m</t>
    </r>
    <r>
      <rPr>
        <vertAlign val="superscript"/>
        <sz val="11"/>
        <color theme="1"/>
        <rFont val="Calibri"/>
        <family val="2"/>
        <scheme val="minor"/>
      </rPr>
      <t>2</t>
    </r>
    <r>
      <rPr>
        <sz val="11"/>
        <color theme="1"/>
        <rFont val="Calibri"/>
        <family val="2"/>
        <scheme val="minor"/>
      </rPr>
      <t xml:space="preserve"> [1 acre] or larger.
b. At least one public use restroom per 4 hectares [10 acres] of project size.
</t>
    </r>
  </si>
  <si>
    <r>
      <t>Performance Test</t>
    </r>
    <r>
      <rPr>
        <sz val="11"/>
        <color theme="1"/>
        <rFont val="Calibri"/>
        <family val="2"/>
        <scheme val="minor"/>
      </rPr>
      <t xml:space="preserve"> </t>
    </r>
  </si>
  <si>
    <r>
      <t xml:space="preserve">LEG – </t>
    </r>
    <r>
      <rPr>
        <i/>
        <sz val="11"/>
        <color theme="1"/>
        <rFont val="Calibri"/>
        <family val="2"/>
        <scheme val="minor"/>
      </rPr>
      <t>Legionella</t>
    </r>
    <r>
      <rPr>
        <sz val="11"/>
        <color theme="1"/>
        <rFont val="Calibri"/>
        <family val="2"/>
        <scheme val="minor"/>
      </rPr>
      <t xml:space="preserve"> Control</t>
    </r>
  </si>
  <si>
    <t xml:space="preserve">
A point-by-point narrative describes strategies for addressing Legionella, including the below-listed ones for all buildings owned, managed or operated by the project owner that use water-based cooling or heating systems:
a. Formation of a team for Legionella management.
b. Water system inventory and production of process flow diagrams.
c. Hazard analysis of water assets.
d. Identification of control locations.
e. Establishment of control limits and planned corrective actions.
f. Monitoring with maintenance and control measures.
g. Documentation, verification and validation of procedures.
</t>
  </si>
  <si>
    <r>
      <t xml:space="preserve">Part 2: </t>
    </r>
    <r>
      <rPr>
        <i/>
        <sz val="11"/>
        <color theme="1"/>
        <rFont val="Calibri"/>
        <family val="2"/>
        <scheme val="minor"/>
      </rPr>
      <t>Legionella</t>
    </r>
    <r>
      <rPr>
        <sz val="11"/>
        <color theme="1"/>
        <rFont val="Calibri"/>
        <family val="2"/>
        <scheme val="minor"/>
      </rPr>
      <t xml:space="preserve"> Awareness</t>
    </r>
  </si>
  <si>
    <t xml:space="preserve">
All buildings not owned, managed or maintained by the project owner that use water-based cooling or heating systems, meet the following:
a. Building engineer or management body is provided with guidelines to minimize Legionella risk, such as “Developing a Water Management Program to Reduce Legionella Growth &amp; Spread in Buildings.”
</t>
  </si>
  <si>
    <t xml:space="preserve">
Permanent and accessible urban agriculture space of at least 1 m2 [10 ft2] per dwelling unit is allocated within an 800 m [0.5 mi] walk distance of all dwelling units through one or more of the following:
a. Community garden.
b. Edible landscaping, with labeled plants and signage containing harvesting guidelines.
c. Small farm or orchard. 
d. Private garden. 
e. Rooftop garden.
</t>
  </si>
  <si>
    <r>
      <t xml:space="preserve">
Luminance levels for digital and internally-illuminated signage do not exceed the following limits per lighting zone:
a. LZ0: no digital or internally illuminated signage.
b. LZ1: 100 cd/m</t>
    </r>
    <r>
      <rPr>
        <vertAlign val="superscript"/>
        <sz val="11"/>
        <color theme="1"/>
        <rFont val="Calibri"/>
        <family val="2"/>
        <scheme val="minor"/>
      </rPr>
      <t>2</t>
    </r>
    <r>
      <rPr>
        <sz val="11"/>
        <color theme="1"/>
        <rFont val="Calibri"/>
        <family val="2"/>
        <scheme val="minor"/>
      </rPr>
      <t>.
c. LZ2: 200 cd/m</t>
    </r>
    <r>
      <rPr>
        <vertAlign val="superscript"/>
        <sz val="11"/>
        <color theme="1"/>
        <rFont val="Calibri"/>
        <family val="2"/>
        <scheme val="minor"/>
      </rPr>
      <t>2</t>
    </r>
    <r>
      <rPr>
        <sz val="11"/>
        <color theme="1"/>
        <rFont val="Calibri"/>
        <family val="2"/>
        <scheme val="minor"/>
      </rPr>
      <t>.
d. LZ3: 300 cd/m</t>
    </r>
    <r>
      <rPr>
        <vertAlign val="superscript"/>
        <sz val="11"/>
        <color theme="1"/>
        <rFont val="Calibri"/>
        <family val="2"/>
        <scheme val="minor"/>
      </rPr>
      <t>2</t>
    </r>
    <r>
      <rPr>
        <sz val="11"/>
        <color theme="1"/>
        <rFont val="Calibri"/>
        <family val="2"/>
        <scheme val="minor"/>
      </rPr>
      <t>.
e. LZ4: 500 cd/m</t>
    </r>
    <r>
      <rPr>
        <vertAlign val="superscript"/>
        <sz val="11"/>
        <color theme="1"/>
        <rFont val="Calibri"/>
        <family val="2"/>
        <scheme val="minor"/>
      </rPr>
      <t>2</t>
    </r>
    <r>
      <rPr>
        <sz val="11"/>
        <color theme="1"/>
        <rFont val="Calibri"/>
        <family val="2"/>
        <scheme val="minor"/>
      </rPr>
      <t xml:space="preserve">.
</t>
    </r>
  </si>
  <si>
    <r>
      <t>Professional Narrative</t>
    </r>
    <r>
      <rPr>
        <sz val="11"/>
        <color theme="1"/>
        <rFont val="Calibri"/>
        <family val="2"/>
        <scheme val="minor"/>
      </rPr>
      <t xml:space="preserve"> </t>
    </r>
  </si>
  <si>
    <t xml:space="preserve">
At least one of the following requirements is met:
a. Street segments intersect at least one other street segment (excluding alleys) every 80-100 m [262-328 ft].
b. Minimum street connectivity index of 1.4.
c. Minimum of 54 intersections per km2 [140 intersections per mi2].
d. Minimum Walk Score™ of 70.
</t>
  </si>
  <si>
    <r>
      <t>Policy</t>
    </r>
    <r>
      <rPr>
        <sz val="11"/>
        <rFont val="Calibri"/>
        <family val="2"/>
        <scheme val="minor"/>
      </rPr>
      <t xml:space="preserve"> Document</t>
    </r>
  </si>
  <si>
    <t xml:space="preserve">
A strategic noise map, reviewed and revised (as necessary) every five years, includes the geographic area within the project boundary and identifies each of the following:
a. Noise sources, including transportation infrastructure (roads, railways, airports, etc.), industrial activity sites and noise generated from other human activity.
b. Day, evening and nighttime environmental noise, presented as long-term averaged sound levels (e.g., Lden, Lnight, Ldn), modeled prior to construction outset and updated throughout the project lifecycle.
c. Environmental elements that affect sound propagation, including terrain, land cover, barriers, roads and buildings.
d. Loud and quiet (relatively) areas of the project and its surrounding areas. 
e. Estimate of the number of people exposed to environmental noise, with exposure specified by sound level bands.
</t>
  </si>
  <si>
    <r>
      <t xml:space="preserve">
A plan for achieving the following environmental sound level goal, including a timeline, strategy for evaluation, and summary of progress is maintained:  
a. Outside of residences: L</t>
    </r>
    <r>
      <rPr>
        <vertAlign val="subscript"/>
        <sz val="11"/>
        <color theme="1"/>
        <rFont val="Calibri"/>
        <family val="2"/>
        <scheme val="minor"/>
      </rPr>
      <t>dn</t>
    </r>
    <r>
      <rPr>
        <sz val="11"/>
        <color theme="1"/>
        <rFont val="Calibri"/>
        <family val="2"/>
        <scheme val="minor"/>
      </rPr>
      <t xml:space="preserve"> 65 dBA or less.
</t>
    </r>
  </si>
  <si>
    <t xml:space="preserve">
75% of privately-owned commercial or residential buildings with a floor area of 10,000 m2 [108,000 ft2] provide public access to an allotted space that meets the following requirements:
a. Totals at least 186 m2 [2,000 ft2]. 
b. Accessible at all times, unless regularly closed for security purposes (e.g., during nighttime hours) or for special events. 
c. Entry points are accessible from a minimum of one public use street.
d. Signage at entrance indicates hours of accessibility, the space’s designation as public use and that patronage of the business or building is not necessary to use the space.
e. Provides quality seating areas and sufficient lighting and is easily navigable.
f. Adheres to a regular maintenance and cleaning schedule.  </t>
  </si>
  <si>
    <t xml:space="preserve">
All new buildings larger than 2,323 m2 [25,000 ft2] owned, operated or managed by the project owner meet at least one of the following requirements:
a. At least 1% of the total cost of construction (maximum required $200,000 USD) is spent on public art on the site or within the community.
b. At least 20% of the building frontage is dedicated to public art.
</t>
  </si>
  <si>
    <r>
      <t xml:space="preserve">INP – Planning for Health </t>
    </r>
    <r>
      <rPr>
        <sz val="11"/>
        <color theme="1"/>
        <rFont val="Calibri"/>
        <family val="2"/>
        <scheme val="minor"/>
      </rPr>
      <t>(enter number of proposals in Notes column)</t>
    </r>
  </si>
  <si>
    <r>
      <t xml:space="preserve">INV – Innovate WELL </t>
    </r>
    <r>
      <rPr>
        <sz val="11"/>
        <color theme="1"/>
        <rFont val="Calibri"/>
        <family val="2"/>
        <scheme val="minor"/>
      </rPr>
      <t>(enter number of proposals in Notes column)</t>
    </r>
  </si>
  <si>
    <t>Part 3: Pro-cyclist Transit</t>
  </si>
  <si>
    <t>Part 1: Community Services and Support Programs</t>
  </si>
  <si>
    <t xml:space="preserve">Part 1: Allocated Parking </t>
  </si>
  <si>
    <t>Part 1: Air Quality Monitoring</t>
  </si>
  <si>
    <t xml:space="preserve">Part 2:  Radon Test Promotion </t>
  </si>
  <si>
    <t>Part 3: Bicycle Lane Maintenance</t>
  </si>
  <si>
    <t>Part 1: Water Bodies</t>
  </si>
  <si>
    <r>
      <t>The project checklist allows teams to track whether a project intends to pursue a particular feature towards certification. The selections on the project checklist are reflected automatically on the certification matrix, indicating the estimated target level of certification.</t>
    </r>
    <r>
      <rPr>
        <u/>
        <sz val="13"/>
        <color theme="1"/>
        <rFont val="Verdana"/>
        <family val="2"/>
      </rPr>
      <t/>
    </r>
  </si>
  <si>
    <t>Project Checklist Layout</t>
  </si>
  <si>
    <t>Certification Matrix Layout</t>
  </si>
  <si>
    <t>Identifies each feature and the details of each part requirement, sorted by concept</t>
  </si>
  <si>
    <t xml:space="preserve">Concepts, Features &amp; Parts: </t>
  </si>
  <si>
    <t>Optimizations &amp; Preconditions Symbols:</t>
  </si>
  <si>
    <t xml:space="preserve">Verification Type: </t>
  </si>
  <si>
    <t>Specifies what verification method will be used to determine adherence to each part</t>
  </si>
  <si>
    <t xml:space="preserve">Signifies the applicability of a feature based on the definitions of precondition and optimizations as described above
</t>
  </si>
  <si>
    <t>States whether a project intends to pursue or not pursue the parts of a feature; projects must pursue all precondition features for certification, though in some cases (for example Fundamental Air Quality), not all parts within the feature are required</t>
  </si>
  <si>
    <t>Notes:</t>
  </si>
  <si>
    <t>Allows teams to track ongoing edit versions</t>
  </si>
  <si>
    <t xml:space="preserve">Project Info: </t>
  </si>
  <si>
    <t xml:space="preserve">Allows project teams to make notes about their response or implementation of each part
</t>
  </si>
  <si>
    <t>Concepts, Features &amp; Parts:</t>
  </si>
  <si>
    <t>Tracks pursuing responses from project checklist</t>
  </si>
  <si>
    <t>Summary:</t>
  </si>
  <si>
    <t>Totals the responses for "Yes," "Maybe" and "No" by precondition and optimization</t>
  </si>
  <si>
    <t>Identifies the minimum totals for each level of certification</t>
  </si>
  <si>
    <t xml:space="preserve">Requirements: </t>
  </si>
  <si>
    <t xml:space="preserve">Results: </t>
  </si>
  <si>
    <t>Changes calculations to either count only "Yes" selections as achieved, or to also count "Maybe" and "Pending PV"</t>
  </si>
  <si>
    <t xml:space="preserve">Maybe and Pending PV Categorization: </t>
  </si>
  <si>
    <t xml:space="preserve">Lists the outcome of applying the totals against the requirements; note that this tool is for informational purposes only and certification award is subject to issuance of WELL report from GBCI
</t>
  </si>
  <si>
    <t>Pursuing
(Yes, No, Maybe, 
Pending PV):</t>
  </si>
  <si>
    <r>
      <t xml:space="preserve">Number of certified buildings </t>
    </r>
    <r>
      <rPr>
        <u/>
        <sz val="11"/>
        <color theme="1"/>
        <rFont val="Calibri"/>
        <family val="2"/>
        <scheme val="minor"/>
      </rPr>
      <t>not</t>
    </r>
    <r>
      <rPr>
        <sz val="11"/>
        <color theme="1"/>
        <rFont val="Calibri"/>
        <family val="2"/>
        <scheme val="minor"/>
      </rPr>
      <t xml:space="preserve"> owned, operated or managed by project owner within project</t>
    </r>
  </si>
  <si>
    <r>
      <t xml:space="preserve">Points awarded from certified </t>
    </r>
    <r>
      <rPr>
        <u/>
        <sz val="11"/>
        <color theme="1"/>
        <rFont val="Calibri"/>
        <family val="2"/>
        <scheme val="minor"/>
      </rPr>
      <t>not</t>
    </r>
    <r>
      <rPr>
        <sz val="11"/>
        <color theme="1"/>
        <rFont val="Calibri"/>
        <family val="2"/>
        <scheme val="minor"/>
      </rPr>
      <t xml:space="preserve"> buildings owned, operated or managed by project owner within project</t>
    </r>
  </si>
  <si>
    <t>Level (as determined from points)</t>
  </si>
  <si>
    <t xml:space="preserve">
At least two of the following parking restrictions are in place: 
a. In new residential buildings, at-grade building frontages that face the pedestrian circulation network are free of parking facilities.
b. In new residential and commercial office buildings, parking facilities do not exceed the minimum number of spaces required by code or law.
c. At least 5% of on-street parking spaces are designated for carpool or shared-use vehicles. 
d. Public use bike parking is available in a number of spaces equal to 5% of on-street parking spaces. Bike parking may be designated on sidewalks, in an on-street space (such as a traditional vehicle parking space or pedestrian zone), in a bike share station or some combination.
</t>
  </si>
  <si>
    <t xml:space="preserve">
Water from all (minimum one) outdoor drinking water fountains located in public use areas meets the following limits:
a. Residual chlorine is present but at a concentration less than 4 mg/L.84
b. Residual chloramine is present but at concentration less than 4 mg/L.84
</t>
  </si>
  <si>
    <t xml:space="preserve">
Water from all (minimum one) outdoor drinking water fountains located in public use areas meets the following limits:
a. Total trihalomethanes less than 0.08 mg/L.84
b. Total haloacetic acids less than 0.06 mg/L.84
</t>
  </si>
  <si>
    <t>Part 1: Non-Residential Lumen Limits</t>
  </si>
  <si>
    <t xml:space="preserve">
The following requirements are met for all digital and internally illuminated signage:
a. Controls provide dimming abilities. 
b. Copy movement or image changes are restricted or limited to reduce driver distraction.
c. Digital signage in residential areas provides a transition time between images of two seconds. 
</t>
  </si>
  <si>
    <t xml:space="preserve">
One of the following requirements is met:
a. Crosswalks maintain a vertical illuminance on the plane facing approaching traffic and on the plane facing the intersection of 21 lux [2 fc] at 1.5 m [5 ft] above grade. 
b. Vertical illuminance levels comply with IES DG-19-08 for Roundabout Lighting based on the street classification and pedestrian volume. 
</t>
  </si>
  <si>
    <t xml:space="preserve">
A point-by-point narrative demonstrates that the transportation network includes design and/or policy strategies that address each of the following categories:
a. Separation of pedestrians and other roadway users.
b. Visibility of pedestrians.
c. Management of vehicular speed.
</t>
  </si>
  <si>
    <t xml:space="preserve">
At least 80% of the project boundary falls within the coverage area of a bicycle share program that meets at least one of the following requirements (building bike share programs may be included in these calculations): 
a. Minimum docking station density of 11 docking stations per 1 km2 [.386 mi2].
b. Minimum of 2 bicycle docks for every shared bicycle in service.
c. Minimum area density of 1 docking station every 300 m [1,000 ft] along a dedicated bike lane.
</t>
  </si>
  <si>
    <t xml:space="preserve">
All playgrounds and child play areas owned, managed or operated by the project owner meet the following conditions:
a. Paint and surface coatings used on new structures meet regulations/guidelines in Table MA1.
b. Lead hazard assessment, abatement and interim strategies to control lead paint exposure are applied per regulations/guidelines in Table MA1.
</t>
  </si>
  <si>
    <t xml:space="preserve">
Information on the storage, use and handling of hazardous substances reportable by local code within project boundaries provides the following details per regulations/guidelines in Table MA1: 
a. Facility Inventory Forms.
b. Material Safety Data Sheet (MSDS) or Safety Data Sheet (SDS).
c. Risk Management Plan for extremely hazardous substances or regulated toxic substances in quantities exceeding locally determined thresholds.
d. Site Plans indicating storage location.
e. Notice of accidental spills and releases.
f. Notices of violation.
g. Notice of change for new storage of hazardous substances.
h. Literacy level sensitive glossary of technical terms.
</t>
  </si>
  <si>
    <t xml:space="preserve">
At least two of the following requirements are met: 
a. Policy is in place that limits the density of alcohol outlets (including those where alcohol is sold for on- or off-premise consumption) within the project boundary.
b. Policy is in place that limits the days and/or hours in which alcohol can be sold (applicable to alcohol outlets where alcohol can be purchased for on- or off-premise consumption).
c. Policy is in place that limits the sale of alcohol (of any kind) to minors (applicable to alcohol outlets where alcohol can be purchased for on- or off-premise consumption).
</t>
  </si>
  <si>
    <t>Letters of Assurance and Map</t>
  </si>
  <si>
    <t xml:space="preserve">
A plan that includes information on deposit locations and hours of operation governs the management of the following hazardous wastes, as defined per regulations/guidelines in Table MA1: 
a. Batteries (e.g., nickel cadmium).
b. Pesticides that are either recalled or collected in waste pesticide collection programs.
c. Mercury-containing equipment.
d. Mercury-containing lamps.
</t>
  </si>
  <si>
    <t xml:space="preserve">
Air quality alerts meet the following requirements:
a. Daily air quality data, including at least ozone and PM2.5 levels, is measured in real time, or forecasted one day ahead.
b. Air quality data is readily available, at no cost to the public, and includes mixed-media messaging capable of reaching a majority of the occupants within the project when air quality alerts are in place.  
</t>
  </si>
  <si>
    <t xml:space="preserve">
At least one of the following is located within the project boundary or a 1.2 km [0.75 mi] walk distance of all dwelling units and includes water bowls (if potable water infrastructure is available), waste receptacles and pet-waste bags at no cost:
a. Fenced dog park.
b. Dog-run area.
c. Public park and/or public space with daily off-leash hours and/or on-leash walking policies.
d. Walking trail with daily off-leash hours and/or on-leash walking policies.
</t>
  </si>
  <si>
    <t xml:space="preserve">
Bicycle parking facilities are present throughout the community such that at least one of the following requirements is met: 
a. Buildings owned, operated or managed by the project owner provide short-term bicycle parking for at least 2.5% of peak visitors (minimum of two spaces) and long-term bicycle parking for at least 5% of regular building occupants (minimum of two spaces). 
b. All newly constructed parking lots and/or garages allocate a minimum of one bicycle parking space (available for public use) per 10 automobile parking spaces (up to a maximum of 200 spaces) that include: racks, poles, hooks and locking devices for cyclists to secure bicycles.
</t>
  </si>
  <si>
    <t>Letter of Assurance</t>
  </si>
  <si>
    <t>Letter of Assurance and/or Operations Schedule</t>
  </si>
  <si>
    <t>Map and/or Professional Narrative</t>
  </si>
  <si>
    <t>Policy Document and Map</t>
  </si>
  <si>
    <t>Map and Professional Narrative</t>
  </si>
  <si>
    <t>Remediation Report and Letters of Assurance – Architect</t>
  </si>
  <si>
    <t>Map</t>
  </si>
  <si>
    <t>Map and/or Policy Document</t>
  </si>
  <si>
    <t>Map or Policy Document</t>
  </si>
  <si>
    <t>Map and Remediation Report</t>
  </si>
  <si>
    <t>Map and Letters of Assurance – Architect</t>
  </si>
  <si>
    <t>Map and Policy Document</t>
  </si>
  <si>
    <t>Map and Operations Schedule</t>
  </si>
  <si>
    <t xml:space="preserve">
A lactation or nursing room that meets the requirements in Appendix N1 or a mobile lactation station is available at the following locations:
a. 50% of public spaces of assembly (Appendix N2) that are owned, operated or managed by the project owner.
b. 20% of commercial buildings that are owned, operated or managed by the project owner. 
</t>
  </si>
  <si>
    <t xml:space="preserve">
All lots vacant at time of certification that are owned or managed by the project owner have debris removed and undergo a lot transformation process that meets at least one of the following requirements:
a. Visual enhancement through artwork at the lot perimeter.
b. Planting of grass or vegetation with perimeter demarcation to facilitate stormwater runoff.
c. Creation of pop-up gardens or temporary planting plots.
</t>
  </si>
  <si>
    <t xml:space="preserve">
At least one of the following water bodies is within 1.2 km [0.75 mi] walk distance (or 15-minute mass transit trip) of 50% of community residents:
a. A pond or other body of water.
b. A water fountain or other water feature.
c. A pool or alternative water body for swimming.
</t>
  </si>
  <si>
    <t xml:space="preserve">
The project is located on a site with existing or planned (with funding commitments) mass transit such that at least one of the following requirements is met:
a. The project is located on a site with a minimum (current or anticipated) Transit Score® of 70.
b. At least 50% of all dwelling units and 50% of non-residential buildings are within a 400 m [0.25 mi] walk distance (measured from the main building entrance) from a mass transit access point that achieves at least 1 point toward minimum daily service trips outlined in Table 1 of the LT Credit: Access to Quality Transit in LEED for Neighborhood Development.
c. At least 75% of all dwelling units and 75% of non-residential buildings are within an 800 m [0.5 mi] walk distance from a mass transit access point that achieves at least 1 point toward minimum daily service trips outlined in Table 1 of the LT Credit: Access to Quality Transit in LEED for Neighborhood Development.
</t>
  </si>
  <si>
    <t xml:space="preserve">
A mixed-media campaign is implemented that provides information on at least two of the following:
a. Information on the physical activity benefits of using mass transit.
b. Information on how community members can obtain mass transit passes or tickets, if available.
c. Information on available transit subsidies.
</t>
  </si>
  <si>
    <t xml:space="preserve">
Lighting for all roadways and pedestrian paths within the project boundary meets the maintained average, minimum illuminance and uniformity recommendations as appropriate for each application based on pedestrian activity levels of at least one of the following:
a. IES-ANSI RP-8-14 or any updated versions of the text.
b. BS 5489-1:2013 or any updated versions of the text.
</t>
  </si>
  <si>
    <t xml:space="preserve">
Contaminated land within the project boundary is identified and remediated per standards/guidelines in Table MA1 or equivalent prior to development. Sustainable remediation programs considered equivalent must include the following criteria:
a. Provide risk-based approach to sustainable remediation (risk assessment/risk-benefit analysis).
b. Consider the three pillars of sustainability: society, environment and economy.
c. Apply a tiered approach to assessment and provide an appraisal of remediation options.
d. Consider safe working practices for workers during remediation.
e. Require record keeping of decision making and assessment processes.
f. Provide protocol for engaging stakeholders, including management of impacts on community.
g. Adopt a long-term vision that ensures lasting results. 
</t>
  </si>
  <si>
    <t xml:space="preserve">
A narrative describes how built spaces are designed to provide the following:
a. Respite from the surrounding urban environment.
b. Elements that encourage involuntary attention.
</t>
  </si>
  <si>
    <t xml:space="preserve">An existing or planned supermarket or grocery store with a produce section within the project boundary is accessible via at least one of the following: 
a. Bicycle lane within 400 m [0.25 mi] of the store entrance.
b. Mass transit stop within 400 m [0.25 mi] of the store entrance and connected by a pedestrian pathway up to the store entrance.
c. Supermarket or grocery store shuttle provided at no-cost.
</t>
  </si>
  <si>
    <t xml:space="preserve">
The following requirements are met when heat warnings are issued as described in the Feature EXT – Extreme Weather Warnings:
a. Public announcements informing the public of all heat relief services available in the community.
b. Public and privately-owned buildings with designated public use space, if present, are open during normal business hours and designated as public cooling shelters.
c. Public and private homeless shelters, if present, provide connection services to find vacancies to accommodate all homeless persons.
</t>
  </si>
  <si>
    <t xml:space="preserve">
The following requirements are met when cold warnings are issued as described in the Feature EXT – Extreme Weather Warnings:
a. Public and private homeless shelters, if present, provide connection services to find vacancies to accommodate all homeless persons.
b. Public announcements informing the public of all available cold relief services and locations.
</t>
  </si>
  <si>
    <t xml:space="preserve">
An existing or planned supermarket or grocery store with a produce section within the project boundary meets one of the following proximity requirements:
a. Located within an 800 m [0.5 mi] walk distance of at least 75% of dwelling units.
b. Located within a 400 m [0.25 mi] walk distance of at least 50% of dwelling units.
</t>
  </si>
  <si>
    <t>© 2017-2018 International WELL Building Institute, pbc. All Rights Reserved</t>
  </si>
  <si>
    <t>THERMAL COMFORT</t>
  </si>
  <si>
    <t>MOVEMENT</t>
  </si>
  <si>
    <t xml:space="preserve">
At least two of the following are available for public use within an 800 m [0.5 mi] walk distance of all residential buildings (residential buildings that meet this part within their property are considered to be in compliance):
a. Fitness center, gym or studio.
b. Recreation center.
c. Play space geared toward children.
d. Colocated adult and child physical activity space (e.g., a fitness center with an indoor play space for children).
</t>
  </si>
  <si>
    <t xml:space="preserve">Water from all (minimum one) drinking water fountains located in public use areas that are owned, managed or operated by the project owner meets the following limits:
a. Turbidity of the water sample is less than 1.0 NTU.
</t>
  </si>
  <si>
    <r>
      <t xml:space="preserve">Water from all (minimum one) drinking water fountains located in public use areas that are owned, managed or operated by the project owner meets the following limits:
a. Total coliforms (including </t>
    </r>
    <r>
      <rPr>
        <i/>
        <sz val="12"/>
        <color theme="1"/>
        <rFont val="Verdana"/>
        <family val="2"/>
      </rPr>
      <t>E. coli</t>
    </r>
    <r>
      <rPr>
        <sz val="12"/>
        <color theme="1"/>
        <rFont val="Verdana"/>
        <family val="2"/>
      </rPr>
      <t>) are not detected in the water sample.</t>
    </r>
    <r>
      <rPr>
        <sz val="11"/>
        <color theme="1"/>
        <rFont val="Calibri"/>
        <family val="2"/>
        <scheme val="minor"/>
      </rPr>
      <t xml:space="preserve">
</t>
    </r>
  </si>
  <si>
    <t xml:space="preserve">Water from all (minimum one) drinking water fountains located in public use areas that are owned, managed or operated by the project owner meets the following limits:
a. Lead less than 0.01 mg/L. 
b. Arsenic less than 0.01 mg/L. 
c. Antimony less than 0.006 mg/L. 
d. Mercury less than 0.002 mg/L. 
e. Nickel less than 0.012 mg/L.
f. Copper less than 1.0 mg/L.
</t>
  </si>
  <si>
    <t xml:space="preserve">Water from all (minimum one) drinking water fountains located in public use areas that are owned, managed or operated by the project owner meets the following limits:
a. Styrene less than 0.0005 mg/L. 
b. Benzene less than 0.001 mg/L. 
c. Ethylbenzene less than 0.3 mg/L. 
d. Polychlorinated biphenyls less than 0.0005 mg/L. 
e. Vinyl chloride less than 0.002 mg/L. 
f. Toluene less than 0.15 mg/L. 
g. Xylenes (total: m, p, and o) less than 0.5 mg/L. 
h. Tetrachloroethylene less than 0.005 mg/L. 
</t>
  </si>
  <si>
    <t xml:space="preserve">Water from all (minimum one) drinking water fountains located in public use areas that are owned, managed or operated by the project owner meets the following limits:
a. Atrazine less than 0.001 mg/L. 
b. Simazine less than 0.002 mg/L. 
c. Glyphosate less than 0.70 mg/L. 
d. 2,4-Dichlorophenoxyacetic acid less than 0.07 mg/L. 
</t>
  </si>
  <si>
    <t xml:space="preserve">Water from all (minimum one) drinking water fountains located in public use areas that are owned, managed or operated by the project owner meets the following limit:
a. Nitrate less than 44 mg/L (less than 10 mg/L nitrogen). 
</t>
  </si>
  <si>
    <t xml:space="preserve">Water from all (minimum one) drinking water fountains located in public use areas that are owned, managed or operated by the project owner include the following:
a. Regular cleaning schedules for mouthpieces, protective guards and collection basins to prevent lime and calcium buildup.
b. Regular cleaning schedules for outlet screens and aerators to remove debris and dust.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</si>
</sst>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
  </numFmts>
  <fonts count="76">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i/>
      <sz val="8"/>
      <color theme="1"/>
      <name val="Calibri"/>
      <family val="2"/>
      <scheme val="minor"/>
    </font>
    <font>
      <sz val="8"/>
      <name val="Calibri"/>
      <family val="2"/>
      <scheme val="minor"/>
    </font>
    <font>
      <u/>
      <sz val="11"/>
      <color theme="10"/>
      <name val="Calibri"/>
      <family val="2"/>
      <scheme val="minor"/>
    </font>
    <font>
      <u/>
      <sz val="11"/>
      <color theme="11"/>
      <name val="Calibri"/>
      <family val="2"/>
      <scheme val="minor"/>
    </font>
    <font>
      <sz val="11"/>
      <color theme="1"/>
      <name val="Verdana"/>
      <family val="2"/>
    </font>
    <font>
      <sz val="8"/>
      <name val="Verdana"/>
      <family val="2"/>
    </font>
    <font>
      <b/>
      <sz val="8"/>
      <name val="Verdana"/>
      <family val="2"/>
    </font>
    <font>
      <b/>
      <sz val="14"/>
      <name val="Verdana"/>
      <family val="2"/>
    </font>
    <font>
      <b/>
      <sz val="16"/>
      <color rgb="FFFF0000"/>
      <name val="Verdana"/>
      <family val="2"/>
    </font>
    <font>
      <b/>
      <u/>
      <sz val="18"/>
      <color theme="1"/>
      <name val="Verdana"/>
      <family val="2"/>
    </font>
    <font>
      <sz val="11"/>
      <name val="Verdana"/>
      <family val="2"/>
    </font>
    <font>
      <b/>
      <sz val="10"/>
      <name val="Verdana"/>
      <family val="2"/>
    </font>
    <font>
      <b/>
      <sz val="14"/>
      <color theme="0"/>
      <name val="Verdana"/>
      <family val="2"/>
    </font>
    <font>
      <b/>
      <sz val="8"/>
      <color rgb="FFFF0000"/>
      <name val="Verdana"/>
      <family val="2"/>
    </font>
    <font>
      <sz val="8"/>
      <color theme="0"/>
      <name val="Verdana"/>
      <family val="2"/>
    </font>
    <font>
      <sz val="10"/>
      <name val="Verdana"/>
      <family val="2"/>
    </font>
    <font>
      <b/>
      <sz val="8"/>
      <color theme="0"/>
      <name val="Verdana"/>
      <family val="2"/>
    </font>
    <font>
      <sz val="6"/>
      <name val="Verdana"/>
      <family val="2"/>
    </font>
    <font>
      <b/>
      <sz val="16"/>
      <color theme="0"/>
      <name val="Verdana"/>
      <family val="2"/>
    </font>
    <font>
      <b/>
      <sz val="10"/>
      <color theme="1"/>
      <name val="Verdana"/>
      <family val="2"/>
    </font>
    <font>
      <b/>
      <sz val="10"/>
      <color theme="0"/>
      <name val="Verdana"/>
      <family val="2"/>
    </font>
    <font>
      <b/>
      <sz val="12"/>
      <color theme="0"/>
      <name val="Verdana"/>
      <family val="2"/>
    </font>
    <font>
      <b/>
      <sz val="14"/>
      <color theme="1"/>
      <name val="Verdana"/>
      <family val="2"/>
    </font>
    <font>
      <b/>
      <sz val="9"/>
      <name val="Verdana"/>
      <family val="2"/>
    </font>
    <font>
      <b/>
      <sz val="11"/>
      <color theme="0"/>
      <name val="Verdana"/>
      <family val="2"/>
    </font>
    <font>
      <sz val="9"/>
      <color theme="0"/>
      <name val="Verdana"/>
      <family val="2"/>
    </font>
    <font>
      <sz val="10"/>
      <color theme="3" tint="0.59999389629810485"/>
      <name val="Verdana"/>
      <family val="2"/>
    </font>
    <font>
      <b/>
      <sz val="8"/>
      <color theme="3" tint="0.59999389629810485"/>
      <name val="Verdana"/>
      <family val="2"/>
    </font>
    <font>
      <sz val="8"/>
      <color theme="3" tint="0.59999389629810485"/>
      <name val="Verdana"/>
      <family val="2"/>
    </font>
    <font>
      <sz val="10"/>
      <color theme="1"/>
      <name val="Verdana"/>
      <family val="2"/>
    </font>
    <font>
      <sz val="11"/>
      <name val="Calibri"/>
      <family val="2"/>
      <scheme val="minor"/>
    </font>
    <font>
      <b/>
      <sz val="11"/>
      <color rgb="FF3F3F3F"/>
      <name val="Calibri"/>
      <family val="2"/>
      <scheme val="minor"/>
    </font>
    <font>
      <sz val="10"/>
      <color theme="1"/>
      <name val="Tahoma"/>
      <family val="2"/>
    </font>
    <font>
      <sz val="10"/>
      <name val="Tahoma"/>
      <family val="2"/>
    </font>
    <font>
      <sz val="9"/>
      <name val="Arial Narrow"/>
      <family val="2"/>
    </font>
    <font>
      <sz val="8"/>
      <color theme="1"/>
      <name val="Calibri"/>
      <family val="2"/>
      <scheme val="minor"/>
    </font>
    <font>
      <b/>
      <sz val="12"/>
      <color theme="1"/>
      <name val="Verdana"/>
      <family val="2"/>
    </font>
    <font>
      <vertAlign val="superscript"/>
      <sz val="11"/>
      <color theme="1"/>
      <name val="Calibri"/>
      <family val="2"/>
      <scheme val="minor"/>
    </font>
    <font>
      <vertAlign val="subscript"/>
      <sz val="11"/>
      <color theme="1"/>
      <name val="Calibri"/>
      <family val="2"/>
      <scheme val="minor"/>
    </font>
    <font>
      <sz val="14"/>
      <color theme="1"/>
      <name val="Verdana"/>
      <family val="2"/>
    </font>
    <font>
      <b/>
      <u/>
      <sz val="18"/>
      <color theme="1"/>
      <name val="Verdana"/>
      <family val="2"/>
    </font>
    <font>
      <sz val="11"/>
      <color theme="1"/>
      <name val="Verdana"/>
      <family val="2"/>
    </font>
    <font>
      <b/>
      <sz val="16"/>
      <color theme="4" tint="-0.249977111117893"/>
      <name val="Verdana"/>
      <family val="2"/>
    </font>
    <font>
      <sz val="13"/>
      <color theme="1"/>
      <name val="Verdana"/>
      <family val="2"/>
    </font>
    <font>
      <b/>
      <sz val="10"/>
      <color theme="1"/>
      <name val="Verdana"/>
      <family val="2"/>
    </font>
    <font>
      <b/>
      <sz val="13"/>
      <color theme="1"/>
      <name val="Verdana"/>
      <family val="2"/>
    </font>
    <font>
      <sz val="12"/>
      <color theme="1"/>
      <name val="Verdana"/>
      <family val="2"/>
    </font>
    <font>
      <u/>
      <sz val="13"/>
      <color theme="1"/>
      <name val="Verdana"/>
      <family val="2"/>
    </font>
    <font>
      <sz val="11"/>
      <color theme="1"/>
      <name val="Verdana"/>
      <family val="2"/>
    </font>
    <font>
      <sz val="11"/>
      <color theme="0"/>
      <name val="Verdana"/>
      <family val="2"/>
    </font>
    <font>
      <sz val="12"/>
      <color theme="0"/>
      <name val="Verdana"/>
      <family val="2"/>
    </font>
    <font>
      <sz val="12"/>
      <name val="Verdana"/>
      <family val="2"/>
    </font>
    <font>
      <b/>
      <u/>
      <sz val="18"/>
      <color theme="1"/>
      <name val="Verdana"/>
      <family val="2"/>
    </font>
    <font>
      <sz val="12"/>
      <color theme="1"/>
      <name val="Verdana"/>
      <family val="2"/>
    </font>
    <font>
      <b/>
      <sz val="14"/>
      <name val="Verdana"/>
      <family val="2"/>
    </font>
    <font>
      <sz val="11"/>
      <name val="Verdana"/>
      <family val="2"/>
    </font>
    <font>
      <b/>
      <sz val="16"/>
      <name val="Verdana"/>
      <family val="2"/>
    </font>
    <font>
      <b/>
      <sz val="12"/>
      <name val="Verdana"/>
      <family val="2"/>
    </font>
    <font>
      <sz val="16"/>
      <color theme="0"/>
      <name val="Verdana"/>
      <family val="2"/>
    </font>
    <font>
      <b/>
      <sz val="12"/>
      <color theme="1"/>
      <name val="Verdana"/>
      <family val="2"/>
    </font>
    <font>
      <b/>
      <sz val="12"/>
      <color theme="0"/>
      <name val="Verdana"/>
      <family val="2"/>
    </font>
    <font>
      <b/>
      <i/>
      <sz val="12"/>
      <name val="Verdana"/>
      <family val="2"/>
    </font>
    <font>
      <i/>
      <sz val="12"/>
      <name val="Verdana"/>
      <family val="2"/>
    </font>
    <font>
      <b/>
      <i/>
      <sz val="12"/>
      <color theme="1"/>
      <name val="Verdana"/>
      <family val="2"/>
    </font>
    <font>
      <sz val="11"/>
      <color theme="1"/>
      <name val="Calibri"/>
      <family val="2"/>
      <scheme val="minor"/>
    </font>
    <font>
      <b/>
      <sz val="12"/>
      <color rgb="FFFFFFFF"/>
      <name val="Verdana"/>
      <family val="2"/>
    </font>
    <font>
      <b/>
      <sz val="11"/>
      <color theme="1"/>
      <name val="Verdana"/>
      <family val="2"/>
    </font>
    <font>
      <b/>
      <sz val="11"/>
      <color rgb="FF3F3F3F"/>
      <name val="Calibri"/>
      <family val="2"/>
      <scheme val="minor"/>
    </font>
    <font>
      <u/>
      <sz val="11"/>
      <color theme="1"/>
      <name val="Calibri"/>
      <family val="2"/>
      <scheme val="minor"/>
    </font>
    <font>
      <b/>
      <sz val="11"/>
      <color rgb="FF3F3F3F"/>
      <name val="Verdana"/>
      <family val="2"/>
    </font>
    <font>
      <b/>
      <sz val="11"/>
      <name val="Verdana"/>
      <family val="2"/>
    </font>
    <font>
      <i/>
      <sz val="12"/>
      <color theme="1"/>
      <name val="Verdana"/>
      <family val="2"/>
    </font>
  </fonts>
  <fills count="2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rgb="FF4DB4D2"/>
        <bgColor indexed="64"/>
      </patternFill>
    </fill>
    <fill>
      <patternFill patternType="solid">
        <fgColor rgb="FF1C6078"/>
        <bgColor indexed="64"/>
      </patternFill>
    </fill>
    <fill>
      <patternFill patternType="solid">
        <fgColor rgb="FFECB95F"/>
        <bgColor indexed="64"/>
      </patternFill>
    </fill>
    <fill>
      <patternFill patternType="solid">
        <fgColor rgb="FFD88E7E"/>
        <bgColor indexed="64"/>
      </patternFill>
    </fill>
    <fill>
      <patternFill patternType="solid">
        <fgColor rgb="FF81AB68"/>
        <bgColor indexed="64"/>
      </patternFill>
    </fill>
    <fill>
      <patternFill patternType="solid">
        <fgColor rgb="FFC5A787"/>
        <bgColor indexed="64"/>
      </patternFill>
    </fill>
    <fill>
      <patternFill patternType="solid">
        <fgColor rgb="FF43B1BC"/>
        <bgColor indexed="64"/>
      </patternFill>
    </fill>
    <fill>
      <patternFill patternType="solid">
        <fgColor theme="2" tint="-0.499984740745262"/>
        <bgColor indexed="64"/>
      </patternFill>
    </fill>
    <fill>
      <patternFill patternType="solid">
        <fgColor theme="0" tint="-0.249977111117893"/>
        <bgColor indexed="64"/>
      </patternFill>
    </fill>
    <fill>
      <patternFill patternType="solid">
        <fgColor rgb="FF1C6078"/>
        <bgColor rgb="FF000000"/>
      </patternFill>
    </fill>
    <fill>
      <patternFill patternType="solid">
        <fgColor rgb="FFCA6450"/>
        <bgColor indexed="64"/>
      </patternFill>
    </fill>
    <fill>
      <patternFill patternType="solid">
        <fgColor rgb="FF2886A0"/>
        <bgColor indexed="64"/>
      </patternFill>
    </fill>
    <fill>
      <patternFill patternType="solid">
        <fgColor rgb="FF96D4DA"/>
        <bgColor indexed="64"/>
      </patternFill>
    </fill>
    <fill>
      <patternFill patternType="solid">
        <fgColor rgb="FF808080"/>
        <bgColor indexed="64"/>
      </patternFill>
    </fill>
    <fill>
      <patternFill patternType="solid">
        <fgColor rgb="FFE6B8AF"/>
        <bgColor indexed="64"/>
      </patternFill>
    </fill>
    <fill>
      <patternFill patternType="solid">
        <fgColor rgb="FFF4CCCC"/>
        <bgColor indexed="64"/>
      </patternFill>
    </fill>
    <fill>
      <patternFill patternType="solid">
        <fgColor rgb="FFEAD1DC"/>
        <bgColor indexed="64"/>
      </patternFill>
    </fill>
    <fill>
      <patternFill patternType="solid">
        <fgColor rgb="FFCFE2F3"/>
        <bgColor indexed="64"/>
      </patternFill>
    </fill>
    <fill>
      <patternFill patternType="solid">
        <fgColor rgb="FFF2F2F2"/>
      </patternFill>
    </fill>
    <fill>
      <patternFill patternType="solid">
        <fgColor rgb="FFFFFFCC"/>
      </patternFill>
    </fill>
  </fills>
  <borders count="29">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7C7C7C"/>
      </left>
      <right/>
      <top style="thin">
        <color theme="0" tint="-0.499984740745262"/>
      </top>
      <bottom style="thin">
        <color theme="0" tint="-0.499984740745262"/>
      </bottom>
      <diagonal/>
    </border>
    <border>
      <left style="thin">
        <color rgb="FF7C7C7C"/>
      </left>
      <right/>
      <top style="thin">
        <color theme="0" tint="-0.499984740745262"/>
      </top>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rgb="FF7C7C7C"/>
      </left>
      <right style="thin">
        <color rgb="FF7C7C7C"/>
      </right>
      <top style="thin">
        <color rgb="FF7C7C7C"/>
      </top>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theme="0" tint="-0.499984740745262"/>
      </right>
      <top style="thin">
        <color theme="0" tint="-0.499984740745262"/>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diagonal/>
    </border>
    <border>
      <left/>
      <right/>
      <top style="thin">
        <color theme="1" tint="0.499984740745262"/>
      </top>
      <bottom style="thin">
        <color theme="1" tint="0.499984740745262"/>
      </bottom>
      <diagonal/>
    </border>
    <border>
      <left/>
      <right style="thin">
        <color theme="0" tint="-0.499984740745262"/>
      </right>
      <top style="thin">
        <color theme="0" tint="-0.499984740745262"/>
      </top>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2"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9" fontId="2" fillId="0" borderId="0" applyFont="0" applyFill="0" applyBorder="0" applyAlignment="0" applyProtection="0"/>
    <xf numFmtId="0" fontId="35" fillId="24" borderId="27" applyNumberFormat="0" applyAlignment="0" applyProtection="0"/>
    <xf numFmtId="0" fontId="2" fillId="25" borderId="28" applyNumberFormat="0" applyFont="0" applyAlignment="0" applyProtection="0"/>
  </cellStyleXfs>
  <cellXfs count="258">
    <xf numFmtId="0" fontId="0" fillId="0" borderId="0" xfId="0"/>
    <xf numFmtId="0" fontId="0" fillId="0" borderId="0" xfId="0" applyNumberFormat="1"/>
    <xf numFmtId="0" fontId="1" fillId="0" borderId="0" xfId="0" applyFont="1"/>
    <xf numFmtId="0" fontId="1" fillId="0" borderId="10" xfId="0" applyFont="1" applyBorder="1"/>
    <xf numFmtId="0" fontId="3" fillId="0" borderId="0" xfId="0" applyFont="1"/>
    <xf numFmtId="0" fontId="0" fillId="0" borderId="0" xfId="0" applyFont="1"/>
    <xf numFmtId="0" fontId="4" fillId="0" borderId="0" xfId="0" applyFont="1" applyAlignment="1">
      <alignment horizontal="right"/>
    </xf>
    <xf numFmtId="0" fontId="0" fillId="4" borderId="11" xfId="0" applyFill="1" applyBorder="1"/>
    <xf numFmtId="0" fontId="9" fillId="3" borderId="0" xfId="0" applyFont="1" applyFill="1" applyBorder="1" applyAlignment="1" applyProtection="1">
      <alignment vertical="center"/>
      <protection hidden="1"/>
    </xf>
    <xf numFmtId="0" fontId="9" fillId="3" borderId="0" xfId="0" applyFont="1" applyFill="1" applyBorder="1" applyAlignment="1" applyProtection="1">
      <alignment horizontal="center" vertical="center"/>
      <protection hidden="1"/>
    </xf>
    <xf numFmtId="0" fontId="9" fillId="3" borderId="0" xfId="0" applyFont="1" applyFill="1" applyBorder="1" applyAlignment="1" applyProtection="1">
      <alignment horizontal="left" vertical="center"/>
      <protection hidden="1"/>
    </xf>
    <xf numFmtId="0" fontId="10" fillId="3" borderId="0" xfId="0" applyFont="1" applyFill="1" applyBorder="1" applyAlignment="1" applyProtection="1">
      <alignment vertical="center"/>
      <protection hidden="1"/>
    </xf>
    <xf numFmtId="0" fontId="8" fillId="3" borderId="0" xfId="0" applyFont="1" applyFill="1" applyBorder="1" applyProtection="1">
      <protection hidden="1"/>
    </xf>
    <xf numFmtId="0" fontId="8" fillId="3" borderId="0" xfId="0" applyFont="1" applyFill="1" applyBorder="1" applyAlignment="1" applyProtection="1">
      <alignment horizontal="center"/>
      <protection hidden="1"/>
    </xf>
    <xf numFmtId="0" fontId="8" fillId="3" borderId="0" xfId="0" applyFont="1" applyFill="1" applyProtection="1">
      <protection hidden="1"/>
    </xf>
    <xf numFmtId="0" fontId="8" fillId="0" borderId="0" xfId="0" applyFont="1" applyProtection="1">
      <protection hidden="1"/>
    </xf>
    <xf numFmtId="0" fontId="11" fillId="3" borderId="0" xfId="0" applyFont="1" applyFill="1" applyBorder="1" applyAlignment="1" applyProtection="1">
      <alignment horizontal="left" vertical="center"/>
      <protection hidden="1"/>
    </xf>
    <xf numFmtId="0" fontId="12" fillId="3" borderId="0" xfId="0" applyFont="1" applyFill="1" applyBorder="1" applyAlignment="1" applyProtection="1">
      <alignment horizontal="left" vertical="center"/>
      <protection hidden="1"/>
    </xf>
    <xf numFmtId="0" fontId="13" fillId="3" borderId="0" xfId="0" applyFont="1" applyFill="1" applyBorder="1"/>
    <xf numFmtId="0" fontId="15" fillId="3" borderId="0" xfId="0" applyFont="1" applyFill="1" applyBorder="1" applyAlignment="1" applyProtection="1">
      <alignment vertical="center"/>
      <protection hidden="1"/>
    </xf>
    <xf numFmtId="0" fontId="15" fillId="0" borderId="8" xfId="0" applyNumberFormat="1" applyFont="1" applyFill="1" applyBorder="1" applyAlignment="1" applyProtection="1">
      <alignment horizontal="center" vertical="center"/>
      <protection hidden="1"/>
    </xf>
    <xf numFmtId="0" fontId="15" fillId="3" borderId="0" xfId="0" applyNumberFormat="1" applyFont="1" applyFill="1" applyBorder="1" applyAlignment="1" applyProtection="1">
      <alignment horizontal="center" vertical="center"/>
      <protection hidden="1"/>
    </xf>
    <xf numFmtId="0" fontId="15" fillId="0" borderId="9" xfId="0" applyNumberFormat="1" applyFont="1" applyFill="1" applyBorder="1" applyAlignment="1" applyProtection="1">
      <alignment horizontal="center" vertical="center"/>
      <protection hidden="1"/>
    </xf>
    <xf numFmtId="0" fontId="10" fillId="14" borderId="1" xfId="0" applyFont="1" applyFill="1" applyBorder="1" applyAlignment="1" applyProtection="1">
      <alignment horizontal="center" vertical="center"/>
      <protection hidden="1"/>
    </xf>
    <xf numFmtId="0" fontId="17" fillId="14"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vertical="center"/>
      <protection hidden="1"/>
    </xf>
    <xf numFmtId="0" fontId="18" fillId="5" borderId="1" xfId="0" applyFont="1" applyFill="1" applyBorder="1" applyAlignment="1" applyProtection="1">
      <alignment horizontal="center" vertical="center"/>
      <protection hidden="1"/>
    </xf>
    <xf numFmtId="164" fontId="19" fillId="3" borderId="0" xfId="0" quotePrefix="1" applyNumberFormat="1" applyFont="1" applyFill="1" applyBorder="1" applyAlignment="1" applyProtection="1">
      <alignment horizontal="center" vertical="center"/>
      <protection hidden="1"/>
    </xf>
    <xf numFmtId="0" fontId="19" fillId="3" borderId="0" xfId="0" applyNumberFormat="1" applyFont="1" applyFill="1" applyBorder="1" applyAlignment="1" applyProtection="1">
      <alignment vertical="center"/>
      <protection hidden="1"/>
    </xf>
    <xf numFmtId="0" fontId="9" fillId="3" borderId="0" xfId="0" applyNumberFormat="1" applyFont="1" applyFill="1" applyBorder="1" applyAlignment="1" applyProtection="1">
      <alignment vertical="center"/>
      <protection hidden="1"/>
    </xf>
    <xf numFmtId="0" fontId="19" fillId="3" borderId="0" xfId="0" quotePrefix="1" applyNumberFormat="1" applyFont="1" applyFill="1" applyBorder="1" applyAlignment="1" applyProtection="1">
      <alignment horizontal="center" vertical="center"/>
      <protection hidden="1"/>
    </xf>
    <xf numFmtId="0" fontId="9" fillId="3" borderId="0" xfId="0" applyNumberFormat="1" applyFont="1" applyFill="1" applyBorder="1" applyAlignment="1" applyProtection="1">
      <alignment horizontal="left" vertical="center"/>
      <protection hidden="1"/>
    </xf>
    <xf numFmtId="0" fontId="9" fillId="3" borderId="0" xfId="0" quotePrefix="1" applyNumberFormat="1" applyFont="1" applyFill="1" applyBorder="1" applyAlignment="1" applyProtection="1">
      <alignment horizontal="left" vertical="center"/>
      <protection hidden="1"/>
    </xf>
    <xf numFmtId="0" fontId="20" fillId="2" borderId="0" xfId="0" applyFont="1" applyFill="1" applyBorder="1" applyAlignment="1" applyProtection="1">
      <alignment horizontal="center" vertical="center"/>
      <protection hidden="1"/>
    </xf>
    <xf numFmtId="0" fontId="9" fillId="3" borderId="0" xfId="0" quotePrefix="1" applyNumberFormat="1" applyFont="1" applyFill="1" applyBorder="1" applyAlignment="1" applyProtection="1">
      <alignment vertical="center"/>
      <protection hidden="1"/>
    </xf>
    <xf numFmtId="0" fontId="23" fillId="0" borderId="8" xfId="0" applyNumberFormat="1" applyFont="1" applyFill="1" applyBorder="1" applyAlignment="1" applyProtection="1">
      <alignment horizontal="center" vertical="center"/>
      <protection hidden="1"/>
    </xf>
    <xf numFmtId="0" fontId="24" fillId="3" borderId="0" xfId="0" applyNumberFormat="1" applyFont="1" applyFill="1" applyBorder="1" applyAlignment="1" applyProtection="1">
      <alignment horizontal="center" vertical="center"/>
      <protection hidden="1"/>
    </xf>
    <xf numFmtId="0" fontId="26" fillId="3" borderId="0" xfId="0" applyFont="1" applyFill="1" applyBorder="1" applyProtection="1">
      <protection hidden="1"/>
    </xf>
    <xf numFmtId="0" fontId="23" fillId="0" borderId="17" xfId="0" applyFont="1" applyFill="1" applyBorder="1" applyAlignment="1" applyProtection="1">
      <alignment horizontal="center" vertical="center"/>
      <protection hidden="1"/>
    </xf>
    <xf numFmtId="0" fontId="23" fillId="0" borderId="8" xfId="0" applyFont="1" applyFill="1" applyBorder="1" applyAlignment="1" applyProtection="1">
      <alignment horizontal="center" vertical="center"/>
      <protection hidden="1"/>
    </xf>
    <xf numFmtId="0" fontId="15" fillId="3" borderId="16" xfId="0" applyFont="1" applyFill="1" applyBorder="1" applyAlignment="1" applyProtection="1">
      <alignment vertical="center"/>
      <protection hidden="1"/>
    </xf>
    <xf numFmtId="0" fontId="8" fillId="3" borderId="0" xfId="0" applyFont="1" applyFill="1" applyBorder="1" applyAlignment="1" applyProtection="1">
      <alignment wrapText="1"/>
      <protection hidden="1"/>
    </xf>
    <xf numFmtId="0" fontId="28" fillId="13" borderId="18" xfId="0" applyFont="1" applyFill="1" applyBorder="1" applyProtection="1">
      <protection hidden="1"/>
    </xf>
    <xf numFmtId="0" fontId="28" fillId="13" borderId="19" xfId="0" applyFont="1" applyFill="1" applyBorder="1" applyProtection="1">
      <protection hidden="1"/>
    </xf>
    <xf numFmtId="0" fontId="30" fillId="3" borderId="0" xfId="0" applyFont="1" applyFill="1" applyBorder="1" applyProtection="1">
      <protection hidden="1"/>
    </xf>
    <xf numFmtId="0" fontId="31" fillId="3" borderId="0" xfId="0" applyFont="1" applyFill="1" applyBorder="1" applyAlignment="1" applyProtection="1">
      <alignment horizontal="center" vertical="center"/>
      <protection hidden="1"/>
    </xf>
    <xf numFmtId="0" fontId="21" fillId="3" borderId="0" xfId="0" quotePrefix="1" applyNumberFormat="1" applyFont="1" applyFill="1" applyBorder="1" applyAlignment="1" applyProtection="1">
      <alignment horizontal="center" vertical="center"/>
      <protection hidden="1"/>
    </xf>
    <xf numFmtId="0" fontId="32" fillId="3" borderId="0" xfId="0" quotePrefix="1" applyNumberFormat="1" applyFont="1" applyFill="1" applyBorder="1" applyAlignment="1" applyProtection="1">
      <alignment vertical="center"/>
      <protection hidden="1"/>
    </xf>
    <xf numFmtId="0" fontId="32" fillId="3" borderId="0" xfId="0" quotePrefix="1" applyNumberFormat="1" applyFont="1" applyFill="1" applyBorder="1" applyAlignment="1" applyProtection="1">
      <alignment horizontal="left" vertical="center"/>
      <protection hidden="1"/>
    </xf>
    <xf numFmtId="0" fontId="8" fillId="0" borderId="0" xfId="0" applyFont="1" applyAlignment="1" applyProtection="1">
      <alignment horizontal="center"/>
      <protection hidden="1"/>
    </xf>
    <xf numFmtId="164" fontId="19" fillId="3" borderId="0" xfId="0" quotePrefix="1" applyNumberFormat="1" applyFont="1" applyFill="1" applyBorder="1" applyAlignment="1" applyProtection="1">
      <alignment vertical="center"/>
      <protection hidden="1"/>
    </xf>
    <xf numFmtId="0" fontId="19" fillId="3" borderId="0" xfId="0" quotePrefix="1" applyNumberFormat="1" applyFont="1" applyFill="1" applyBorder="1" applyAlignment="1" applyProtection="1">
      <alignment vertical="center"/>
      <protection hidden="1"/>
    </xf>
    <xf numFmtId="0" fontId="33" fillId="0" borderId="0" xfId="0" applyFont="1" applyProtection="1">
      <protection hidden="1"/>
    </xf>
    <xf numFmtId="0" fontId="34" fillId="0" borderId="0" xfId="0" applyFont="1"/>
    <xf numFmtId="0" fontId="36" fillId="0" borderId="0" xfId="0" applyFont="1" applyProtection="1">
      <protection hidden="1"/>
    </xf>
    <xf numFmtId="0" fontId="36" fillId="0" borderId="0" xfId="0" applyFont="1" applyAlignment="1" applyProtection="1">
      <alignment horizontal="center"/>
      <protection hidden="1"/>
    </xf>
    <xf numFmtId="0" fontId="33" fillId="3" borderId="0" xfId="0" applyFont="1" applyFill="1" applyAlignment="1" applyProtection="1">
      <alignment horizontal="right"/>
      <protection hidden="1"/>
    </xf>
    <xf numFmtId="0" fontId="37" fillId="3" borderId="0" xfId="0" quotePrefix="1" applyNumberFormat="1" applyFont="1" applyFill="1" applyBorder="1" applyAlignment="1" applyProtection="1">
      <alignment horizontal="center" vertical="center"/>
      <protection hidden="1"/>
    </xf>
    <xf numFmtId="0" fontId="37" fillId="3" borderId="0" xfId="0" applyNumberFormat="1" applyFont="1" applyFill="1" applyBorder="1" applyAlignment="1" applyProtection="1">
      <alignment vertical="center"/>
      <protection hidden="1"/>
    </xf>
    <xf numFmtId="0" fontId="38" fillId="3" borderId="0" xfId="0" applyNumberFormat="1" applyFont="1" applyFill="1" applyBorder="1" applyAlignment="1" applyProtection="1">
      <alignment vertical="center"/>
      <protection hidden="1"/>
    </xf>
    <xf numFmtId="9" fontId="35" fillId="24" borderId="27" xfId="6" applyFont="1" applyFill="1" applyBorder="1" applyAlignment="1">
      <alignment horizontal="center" vertical="center"/>
    </xf>
    <xf numFmtId="9" fontId="0" fillId="0" borderId="0" xfId="0" applyNumberFormat="1"/>
    <xf numFmtId="0" fontId="15" fillId="3" borderId="12" xfId="0" applyFont="1" applyFill="1" applyBorder="1" applyAlignment="1" applyProtection="1">
      <alignment horizontal="center" vertical="center"/>
      <protection hidden="1"/>
    </xf>
    <xf numFmtId="0" fontId="15" fillId="3" borderId="12" xfId="0" quotePrefix="1" applyFont="1" applyFill="1" applyBorder="1" applyAlignment="1" applyProtection="1">
      <alignment horizontal="center" vertical="center"/>
      <protection hidden="1"/>
    </xf>
    <xf numFmtId="0" fontId="20" fillId="2" borderId="1" xfId="0" applyFont="1" applyFill="1" applyBorder="1" applyAlignment="1" applyProtection="1">
      <alignment horizontal="center" vertical="center"/>
      <protection hidden="1"/>
    </xf>
    <xf numFmtId="0" fontId="33" fillId="0" borderId="0" xfId="0" applyFont="1" applyAlignment="1" applyProtection="1">
      <alignment horizontal="center"/>
      <protection hidden="1"/>
    </xf>
    <xf numFmtId="0" fontId="15" fillId="3"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wrapText="1"/>
      <protection hidden="1"/>
    </xf>
    <xf numFmtId="0" fontId="0" fillId="0" borderId="0" xfId="0" applyFont="1" applyFill="1" applyBorder="1" applyAlignment="1">
      <alignment horizontal="right"/>
    </xf>
    <xf numFmtId="0" fontId="0" fillId="0" borderId="0" xfId="0" applyFont="1" applyAlignment="1">
      <alignment horizontal="center"/>
    </xf>
    <xf numFmtId="0" fontId="0" fillId="0" borderId="0" xfId="0" applyAlignment="1">
      <alignment horizontal="right"/>
    </xf>
    <xf numFmtId="0" fontId="8" fillId="3" borderId="0" xfId="0" applyFont="1" applyFill="1" applyAlignment="1" applyProtection="1">
      <alignment horizontal="center"/>
      <protection hidden="1"/>
    </xf>
    <xf numFmtId="0" fontId="0" fillId="0" borderId="0" xfId="0" applyAlignment="1">
      <alignment horizontal="center"/>
    </xf>
    <xf numFmtId="0" fontId="39" fillId="0" borderId="0" xfId="0" applyFont="1" applyAlignment="1">
      <alignment horizontal="left"/>
    </xf>
    <xf numFmtId="0" fontId="0" fillId="0" borderId="0" xfId="0" applyAlignment="1">
      <alignment horizontal="left"/>
    </xf>
    <xf numFmtId="0" fontId="19" fillId="25" borderId="28" xfId="8" applyNumberFormat="1" applyFont="1" applyAlignment="1" applyProtection="1">
      <alignment horizontal="center" vertical="center"/>
      <protection locked="0" hidden="1"/>
    </xf>
    <xf numFmtId="0" fontId="43" fillId="0" borderId="0" xfId="0" applyFont="1" applyProtection="1"/>
    <xf numFmtId="0" fontId="44" fillId="0" borderId="0" xfId="0" applyFont="1" applyAlignment="1" applyProtection="1">
      <alignment vertical="center" wrapText="1"/>
    </xf>
    <xf numFmtId="0" fontId="43" fillId="0" borderId="0" xfId="0" applyFont="1" applyAlignment="1" applyProtection="1">
      <alignment horizontal="left" vertical="top" wrapText="1" indent="1"/>
    </xf>
    <xf numFmtId="0" fontId="45" fillId="0" borderId="0" xfId="0" applyFont="1" applyProtection="1"/>
    <xf numFmtId="0" fontId="46" fillId="0" borderId="0" xfId="0" applyFont="1" applyAlignment="1" applyProtection="1">
      <alignment wrapText="1"/>
    </xf>
    <xf numFmtId="0" fontId="43" fillId="0" borderId="0" xfId="0" applyFont="1" applyBorder="1" applyAlignment="1" applyProtection="1">
      <alignment horizontal="left" vertical="top" wrapText="1" indent="1"/>
    </xf>
    <xf numFmtId="0" fontId="43" fillId="0" borderId="0" xfId="0" applyFont="1" applyBorder="1" applyAlignment="1" applyProtection="1">
      <alignment wrapText="1"/>
    </xf>
    <xf numFmtId="0" fontId="43" fillId="0" borderId="0" xfId="0" applyFont="1" applyAlignment="1" applyProtection="1">
      <alignment wrapText="1"/>
    </xf>
    <xf numFmtId="0" fontId="49" fillId="0" borderId="12" xfId="0" applyFont="1" applyBorder="1" applyAlignment="1" applyProtection="1">
      <alignment horizontal="left" vertical="center" wrapText="1" indent="1"/>
    </xf>
    <xf numFmtId="0" fontId="49" fillId="0" borderId="12" xfId="0" applyFont="1" applyBorder="1" applyAlignment="1" applyProtection="1">
      <alignment horizontal="left" vertical="center" indent="1"/>
    </xf>
    <xf numFmtId="0" fontId="47" fillId="0" borderId="12" xfId="0" applyFont="1" applyBorder="1" applyAlignment="1" applyProtection="1">
      <alignment horizontal="left" vertical="top" wrapText="1" indent="1"/>
    </xf>
    <xf numFmtId="0" fontId="47" fillId="0" borderId="12" xfId="0" applyFont="1" applyBorder="1" applyAlignment="1" applyProtection="1">
      <alignment horizontal="center"/>
    </xf>
    <xf numFmtId="0" fontId="47" fillId="0" borderId="0" xfId="0" applyFont="1" applyBorder="1" applyAlignment="1" applyProtection="1">
      <alignment horizontal="left" vertical="top" wrapText="1" indent="1"/>
    </xf>
    <xf numFmtId="0" fontId="47" fillId="0" borderId="0" xfId="0" applyFont="1" applyBorder="1" applyAlignment="1" applyProtection="1">
      <alignment horizontal="center"/>
    </xf>
    <xf numFmtId="0" fontId="47" fillId="0" borderId="0" xfId="0" applyFont="1" applyAlignment="1" applyProtection="1">
      <alignment vertical="top" wrapText="1"/>
    </xf>
    <xf numFmtId="0" fontId="46" fillId="0" borderId="0" xfId="0" applyFont="1" applyAlignment="1" applyProtection="1">
      <alignment vertical="top" wrapText="1"/>
    </xf>
    <xf numFmtId="0" fontId="47" fillId="0" borderId="0" xfId="0" applyFont="1" applyAlignment="1" applyProtection="1">
      <alignment horizontal="left" vertical="top" wrapText="1"/>
    </xf>
    <xf numFmtId="0" fontId="45" fillId="0" borderId="0" xfId="0" applyFont="1" applyBorder="1" applyAlignment="1" applyProtection="1">
      <alignment wrapText="1"/>
    </xf>
    <xf numFmtId="0" fontId="47" fillId="0" borderId="0" xfId="0" applyFont="1" applyAlignment="1" applyProtection="1">
      <alignment horizontal="center" vertical="top" wrapText="1"/>
    </xf>
    <xf numFmtId="0" fontId="50" fillId="0" borderId="0" xfId="0" applyFont="1" applyAlignment="1" applyProtection="1">
      <alignment horizontal="left" vertical="top" wrapText="1" indent="1"/>
    </xf>
    <xf numFmtId="0" fontId="51" fillId="0" borderId="0" xfId="0" applyFont="1" applyAlignment="1" applyProtection="1">
      <alignment vertical="top" wrapText="1"/>
    </xf>
    <xf numFmtId="0" fontId="47" fillId="0" borderId="0" xfId="0" applyFont="1" applyProtection="1"/>
    <xf numFmtId="0" fontId="40" fillId="0" borderId="0" xfId="0" applyFont="1" applyAlignment="1" applyProtection="1">
      <alignment vertical="top" wrapText="1"/>
    </xf>
    <xf numFmtId="0" fontId="52" fillId="3" borderId="0" xfId="0" applyFont="1" applyFill="1" applyBorder="1" applyAlignment="1">
      <alignment vertical="center"/>
    </xf>
    <xf numFmtId="0" fontId="53" fillId="3" borderId="0" xfId="0" applyFont="1" applyFill="1" applyBorder="1" applyAlignment="1">
      <alignment vertical="center"/>
    </xf>
    <xf numFmtId="0" fontId="53" fillId="3" borderId="0" xfId="0" applyFont="1" applyFill="1" applyBorder="1" applyAlignment="1">
      <alignment horizontal="center" vertical="center"/>
    </xf>
    <xf numFmtId="0" fontId="54" fillId="3" borderId="0" xfId="0" applyFont="1" applyFill="1" applyBorder="1" applyAlignment="1">
      <alignment horizontal="center" vertical="center"/>
    </xf>
    <xf numFmtId="0" fontId="53" fillId="0" borderId="0" xfId="0" applyFont="1" applyFill="1" applyBorder="1" applyAlignment="1">
      <alignment horizontal="center" vertical="center"/>
    </xf>
    <xf numFmtId="0" fontId="55" fillId="3" borderId="0" xfId="0" applyFont="1" applyFill="1" applyBorder="1" applyAlignment="1">
      <alignment horizontal="left" vertical="center"/>
    </xf>
    <xf numFmtId="0" fontId="56" fillId="0" borderId="0" xfId="0" applyFont="1" applyAlignment="1" applyProtection="1">
      <alignment horizontal="center" vertical="center" wrapText="1"/>
    </xf>
    <xf numFmtId="0" fontId="57" fillId="3" borderId="0" xfId="0" applyFont="1" applyFill="1" applyBorder="1" applyAlignment="1">
      <alignment vertical="center" wrapText="1"/>
    </xf>
    <xf numFmtId="0" fontId="52" fillId="3" borderId="0" xfId="0" applyFont="1" applyFill="1" applyBorder="1" applyAlignment="1" applyProtection="1">
      <alignment horizontal="center" vertical="center"/>
      <protection locked="0"/>
    </xf>
    <xf numFmtId="0" fontId="52" fillId="3" borderId="0" xfId="0" applyFont="1" applyFill="1" applyBorder="1" applyAlignment="1" applyProtection="1">
      <alignment horizontal="left" vertical="center" wrapText="1"/>
      <protection locked="0"/>
    </xf>
    <xf numFmtId="0" fontId="52" fillId="3" borderId="0" xfId="0" applyFont="1" applyFill="1" applyBorder="1" applyAlignment="1">
      <alignment vertical="center" wrapText="1"/>
    </xf>
    <xf numFmtId="0" fontId="58" fillId="3" borderId="0" xfId="0" applyFont="1" applyFill="1" applyBorder="1" applyAlignment="1" applyProtection="1">
      <alignment horizontal="left" vertical="center"/>
      <protection hidden="1"/>
    </xf>
    <xf numFmtId="0" fontId="59" fillId="3" borderId="0" xfId="0" applyFont="1" applyFill="1" applyBorder="1" applyAlignment="1">
      <alignment vertical="center"/>
    </xf>
    <xf numFmtId="0" fontId="52" fillId="3" borderId="0" xfId="0" applyFont="1" applyFill="1" applyBorder="1" applyAlignment="1">
      <alignment horizontal="right" vertical="center"/>
    </xf>
    <xf numFmtId="0" fontId="55" fillId="3" borderId="12" xfId="0" applyFont="1" applyFill="1" applyBorder="1" applyAlignment="1" applyProtection="1">
      <alignment horizontal="left" vertical="center"/>
      <protection locked="0"/>
    </xf>
    <xf numFmtId="0" fontId="55" fillId="3" borderId="12" xfId="0" quotePrefix="1" applyFont="1" applyFill="1" applyBorder="1" applyAlignment="1" applyProtection="1">
      <alignment horizontal="left" vertical="center"/>
      <protection locked="0"/>
    </xf>
    <xf numFmtId="14" fontId="55" fillId="3" borderId="12" xfId="0" applyNumberFormat="1" applyFont="1" applyFill="1" applyBorder="1" applyAlignment="1" applyProtection="1">
      <alignment horizontal="left" vertical="center"/>
      <protection locked="0"/>
    </xf>
    <xf numFmtId="0" fontId="54" fillId="0" borderId="0" xfId="0" applyFont="1" applyFill="1" applyBorder="1" applyAlignment="1">
      <alignment horizontal="center" vertical="center" textRotation="255"/>
    </xf>
    <xf numFmtId="0" fontId="55" fillId="3" borderId="0" xfId="0" applyFont="1" applyFill="1" applyAlignment="1">
      <alignment horizontal="left" vertical="top"/>
    </xf>
    <xf numFmtId="0" fontId="52" fillId="3" borderId="0" xfId="0" applyFont="1" applyFill="1" applyAlignment="1" applyProtection="1">
      <alignment vertical="center"/>
    </xf>
    <xf numFmtId="0" fontId="53" fillId="3" borderId="0" xfId="0" applyFont="1" applyFill="1" applyAlignment="1" applyProtection="1">
      <alignment vertical="center"/>
    </xf>
    <xf numFmtId="0" fontId="60" fillId="3" borderId="0" xfId="0" applyFont="1" applyFill="1" applyAlignment="1" applyProtection="1">
      <alignment horizontal="left" vertical="center"/>
    </xf>
    <xf numFmtId="0" fontId="61" fillId="3" borderId="0" xfId="0" applyFont="1" applyFill="1" applyAlignment="1" applyProtection="1">
      <alignment horizontal="center" vertical="center"/>
    </xf>
    <xf numFmtId="0" fontId="62" fillId="0" borderId="0" xfId="0" applyFont="1" applyFill="1" applyAlignment="1" applyProtection="1">
      <alignment horizontal="left" vertical="center"/>
    </xf>
    <xf numFmtId="0" fontId="61" fillId="3" borderId="0" xfId="0" applyFont="1" applyFill="1" applyAlignment="1" applyProtection="1">
      <alignment horizontal="left" vertical="center"/>
    </xf>
    <xf numFmtId="0" fontId="61" fillId="3" borderId="0" xfId="0" applyFont="1" applyFill="1" applyAlignment="1" applyProtection="1">
      <alignment horizontal="center" vertical="center" wrapText="1"/>
    </xf>
    <xf numFmtId="0" fontId="63" fillId="3" borderId="0" xfId="0" applyFont="1" applyFill="1" applyBorder="1" applyAlignment="1" applyProtection="1">
      <alignment horizontal="center" vertical="center" wrapText="1"/>
      <protection locked="0"/>
    </xf>
    <xf numFmtId="0" fontId="52" fillId="3" borderId="0" xfId="0" applyFont="1" applyFill="1" applyBorder="1" applyAlignment="1" applyProtection="1">
      <alignment vertical="center"/>
    </xf>
    <xf numFmtId="0" fontId="61" fillId="3" borderId="0" xfId="0" applyFont="1" applyFill="1" applyAlignment="1" applyProtection="1">
      <alignment vertical="center"/>
      <protection hidden="1"/>
    </xf>
    <xf numFmtId="0" fontId="61" fillId="6" borderId="0" xfId="0" applyFont="1" applyFill="1" applyAlignment="1" applyProtection="1">
      <alignment horizontal="center" vertical="center"/>
      <protection hidden="1"/>
    </xf>
    <xf numFmtId="0" fontId="54" fillId="0" borderId="24" xfId="0" applyFont="1" applyFill="1" applyBorder="1" applyAlignment="1" applyProtection="1">
      <alignment horizontal="center" vertical="center"/>
      <protection hidden="1"/>
    </xf>
    <xf numFmtId="0" fontId="61" fillId="14" borderId="18" xfId="0" applyFont="1" applyFill="1" applyBorder="1" applyAlignment="1" applyProtection="1">
      <alignment horizontal="left" vertical="center"/>
    </xf>
    <xf numFmtId="0" fontId="65" fillId="14" borderId="19" xfId="0" applyFont="1" applyFill="1" applyBorder="1" applyAlignment="1" applyProtection="1">
      <alignment vertical="center"/>
      <protection hidden="1"/>
    </xf>
    <xf numFmtId="0" fontId="66" fillId="14" borderId="19" xfId="0" applyFont="1" applyFill="1" applyBorder="1" applyAlignment="1" applyProtection="1">
      <alignment vertical="center" wrapText="1"/>
      <protection hidden="1"/>
    </xf>
    <xf numFmtId="0" fontId="65" fillId="14" borderId="19" xfId="0" applyFont="1" applyFill="1" applyBorder="1" applyAlignment="1" applyProtection="1">
      <alignment horizontal="center" vertical="center"/>
      <protection hidden="1"/>
    </xf>
    <xf numFmtId="0" fontId="67" fillId="14" borderId="20" xfId="0" applyFont="1" applyFill="1" applyBorder="1" applyAlignment="1" applyProtection="1">
      <alignment horizontal="left" vertical="center" wrapText="1"/>
      <protection locked="0" hidden="1"/>
    </xf>
    <xf numFmtId="0" fontId="61" fillId="3" borderId="0" xfId="0" applyFont="1" applyFill="1" applyAlignment="1" applyProtection="1">
      <alignment vertical="center" wrapText="1"/>
      <protection hidden="1"/>
    </xf>
    <xf numFmtId="0" fontId="68" fillId="0" borderId="0" xfId="0" applyFont="1"/>
    <xf numFmtId="0" fontId="54" fillId="0" borderId="0" xfId="0" applyFont="1" applyAlignment="1">
      <alignment horizontal="center" vertical="center"/>
    </xf>
    <xf numFmtId="0" fontId="68" fillId="0" borderId="24" xfId="0" applyFont="1" applyBorder="1"/>
    <xf numFmtId="0" fontId="55" fillId="0" borderId="18" xfId="0" applyFont="1" applyBorder="1" applyAlignment="1">
      <alignment horizontal="left" vertical="center"/>
    </xf>
    <xf numFmtId="0" fontId="57" fillId="0" borderId="19" xfId="0" applyFont="1" applyBorder="1" applyAlignment="1">
      <alignment vertical="center" wrapText="1"/>
    </xf>
    <xf numFmtId="0" fontId="55" fillId="0" borderId="19" xfId="0" applyFont="1" applyBorder="1" applyAlignment="1">
      <alignment vertical="center" wrapText="1"/>
    </xf>
    <xf numFmtId="0" fontId="57" fillId="3" borderId="25" xfId="0" applyFont="1" applyFill="1" applyBorder="1" applyAlignment="1" applyProtection="1">
      <alignment horizontal="center" vertical="center"/>
      <protection locked="0"/>
    </xf>
    <xf numFmtId="0" fontId="68" fillId="0" borderId="20" xfId="0" applyFont="1" applyBorder="1" applyProtection="1">
      <protection locked="0"/>
    </xf>
    <xf numFmtId="0" fontId="57" fillId="3" borderId="25" xfId="0" applyFont="1" applyFill="1" applyBorder="1" applyAlignment="1" applyProtection="1">
      <alignment horizontal="center" vertical="center"/>
    </xf>
    <xf numFmtId="0" fontId="68" fillId="0" borderId="20" xfId="0" applyFont="1" applyBorder="1" applyAlignment="1" applyProtection="1">
      <alignment vertical="center"/>
      <protection locked="0"/>
    </xf>
    <xf numFmtId="0" fontId="57" fillId="3" borderId="0" xfId="0" applyFont="1" applyFill="1" applyAlignment="1">
      <alignment vertical="center"/>
    </xf>
    <xf numFmtId="0" fontId="55" fillId="0" borderId="18" xfId="0" applyFont="1" applyFill="1" applyBorder="1" applyAlignment="1">
      <alignment horizontal="left" vertical="center"/>
    </xf>
    <xf numFmtId="0" fontId="64" fillId="7" borderId="0" xfId="0" applyFont="1" applyFill="1" applyAlignment="1" applyProtection="1">
      <alignment horizontal="center" vertical="center"/>
      <protection hidden="1"/>
    </xf>
    <xf numFmtId="0" fontId="69" fillId="15" borderId="0" xfId="0" applyFont="1" applyFill="1" applyBorder="1" applyAlignment="1" applyProtection="1">
      <alignment horizontal="center" vertical="center"/>
      <protection hidden="1"/>
    </xf>
    <xf numFmtId="0" fontId="63" fillId="3" borderId="0" xfId="0" applyFont="1" applyFill="1" applyAlignment="1" applyProtection="1">
      <alignment vertical="center"/>
      <protection hidden="1"/>
    </xf>
    <xf numFmtId="0" fontId="57" fillId="3" borderId="19" xfId="0" applyFont="1" applyFill="1" applyBorder="1" applyAlignment="1">
      <alignment vertical="center" wrapText="1"/>
    </xf>
    <xf numFmtId="0" fontId="55" fillId="0" borderId="18" xfId="0" applyFont="1" applyBorder="1" applyAlignment="1">
      <alignment horizontal="left" vertical="center" wrapText="1"/>
    </xf>
    <xf numFmtId="0" fontId="61" fillId="10" borderId="0" xfId="0" applyFont="1" applyFill="1" applyAlignment="1" applyProtection="1">
      <alignment horizontal="center" vertical="center"/>
      <protection hidden="1"/>
    </xf>
    <xf numFmtId="0" fontId="61" fillId="8" borderId="0" xfId="0" applyFont="1" applyFill="1" applyAlignment="1" applyProtection="1">
      <alignment horizontal="center" vertical="center"/>
      <protection hidden="1"/>
    </xf>
    <xf numFmtId="0" fontId="61" fillId="11" borderId="0" xfId="0" applyFont="1" applyFill="1" applyAlignment="1" applyProtection="1">
      <alignment horizontal="center" vertical="center"/>
      <protection hidden="1"/>
    </xf>
    <xf numFmtId="0" fontId="67" fillId="14" borderId="20" xfId="0" applyFont="1" applyFill="1" applyBorder="1" applyAlignment="1" applyProtection="1">
      <alignment horizontal="left" vertical="center"/>
      <protection locked="0" hidden="1"/>
    </xf>
    <xf numFmtId="0" fontId="61" fillId="16" borderId="0" xfId="0" applyFont="1" applyFill="1" applyAlignment="1" applyProtection="1">
      <alignment horizontal="center" vertical="center"/>
      <protection hidden="1"/>
    </xf>
    <xf numFmtId="0" fontId="61" fillId="9" borderId="0" xfId="0" applyFont="1" applyFill="1" applyAlignment="1" applyProtection="1">
      <alignment horizontal="center" vertical="center"/>
      <protection hidden="1"/>
    </xf>
    <xf numFmtId="0" fontId="61" fillId="17" borderId="0" xfId="0" applyFont="1" applyFill="1" applyAlignment="1" applyProtection="1">
      <alignment horizontal="center" vertical="center"/>
      <protection hidden="1"/>
    </xf>
    <xf numFmtId="0" fontId="61" fillId="12" borderId="0" xfId="0" applyFont="1" applyFill="1" applyAlignment="1" applyProtection="1">
      <alignment horizontal="center" vertical="center"/>
      <protection hidden="1"/>
    </xf>
    <xf numFmtId="0" fontId="61" fillId="18" borderId="0" xfId="0" applyFont="1" applyFill="1" applyAlignment="1" applyProtection="1">
      <alignment horizontal="center" vertical="center"/>
      <protection hidden="1"/>
    </xf>
    <xf numFmtId="0" fontId="68" fillId="0" borderId="23" xfId="0" applyFont="1" applyBorder="1"/>
    <xf numFmtId="0" fontId="54" fillId="0" borderId="23" xfId="0" applyFont="1" applyFill="1" applyBorder="1" applyAlignment="1" applyProtection="1">
      <alignment horizontal="center" vertical="center"/>
      <protection hidden="1"/>
    </xf>
    <xf numFmtId="0" fontId="55" fillId="3" borderId="18" xfId="0" applyFont="1" applyFill="1" applyBorder="1" applyAlignment="1">
      <alignment horizontal="left" vertical="center"/>
    </xf>
    <xf numFmtId="0" fontId="52" fillId="3" borderId="20" xfId="0" applyFont="1" applyFill="1" applyBorder="1" applyAlignment="1" applyProtection="1">
      <alignment horizontal="left" vertical="center" wrapText="1"/>
      <protection locked="0"/>
    </xf>
    <xf numFmtId="0" fontId="61" fillId="19" borderId="0" xfId="0" applyFont="1" applyFill="1" applyAlignment="1" applyProtection="1">
      <alignment horizontal="center" vertical="center"/>
      <protection hidden="1"/>
    </xf>
    <xf numFmtId="0" fontId="55" fillId="3" borderId="18" xfId="0" applyFont="1" applyFill="1" applyBorder="1" applyAlignment="1">
      <alignment horizontal="left" vertical="center" wrapText="1"/>
    </xf>
    <xf numFmtId="0" fontId="63" fillId="3" borderId="20" xfId="0" applyFont="1" applyFill="1" applyBorder="1" applyAlignment="1" applyProtection="1">
      <alignment horizontal="center" vertical="center" wrapText="1"/>
      <protection locked="0"/>
    </xf>
    <xf numFmtId="0" fontId="65" fillId="14" borderId="19" xfId="0" applyFont="1" applyFill="1" applyBorder="1" applyAlignment="1" applyProtection="1">
      <alignment horizontal="right" vertical="center"/>
      <protection hidden="1"/>
    </xf>
    <xf numFmtId="0" fontId="67" fillId="14" borderId="20" xfId="0" applyFont="1" applyFill="1" applyBorder="1" applyAlignment="1" applyProtection="1">
      <alignment horizontal="center" vertical="center" wrapText="1"/>
      <protection locked="0" hidden="1"/>
    </xf>
    <xf numFmtId="0" fontId="57" fillId="14" borderId="0" xfId="0" applyFont="1" applyFill="1" applyBorder="1" applyAlignment="1">
      <alignment vertical="center" wrapText="1"/>
    </xf>
    <xf numFmtId="0" fontId="70" fillId="0" borderId="0" xfId="0" applyFont="1" applyFill="1" applyBorder="1" applyAlignment="1">
      <alignment vertical="center"/>
    </xf>
    <xf numFmtId="0" fontId="52" fillId="25" borderId="28" xfId="8" applyFont="1" applyAlignment="1" applyProtection="1">
      <alignment horizontal="center" vertical="center"/>
      <protection locked="0"/>
    </xf>
    <xf numFmtId="3" fontId="52" fillId="25" borderId="28" xfId="8" applyNumberFormat="1" applyFont="1" applyAlignment="1" applyProtection="1">
      <alignment horizontal="center" vertical="center"/>
      <protection locked="0"/>
    </xf>
    <xf numFmtId="0" fontId="71" fillId="24" borderId="27" xfId="7" applyFont="1" applyAlignment="1">
      <alignment horizontal="center" vertical="center"/>
    </xf>
    <xf numFmtId="0" fontId="55" fillId="3" borderId="0" xfId="0" applyFont="1" applyFill="1" applyBorder="1" applyAlignment="1" applyProtection="1">
      <alignment horizontal="left" vertical="center"/>
    </xf>
    <xf numFmtId="0" fontId="73" fillId="24" borderId="27" xfId="7" applyFont="1" applyAlignment="1">
      <alignment horizontal="center" vertical="center"/>
    </xf>
    <xf numFmtId="0" fontId="74" fillId="3" borderId="0" xfId="0" applyFont="1" applyFill="1" applyBorder="1" applyAlignment="1">
      <alignment horizontal="left" vertical="center"/>
    </xf>
    <xf numFmtId="0" fontId="50" fillId="0" borderId="19" xfId="0" applyFont="1" applyBorder="1" applyAlignment="1">
      <alignment vertical="center" wrapText="1"/>
    </xf>
    <xf numFmtId="0" fontId="14" fillId="3" borderId="0" xfId="0" applyFont="1" applyFill="1" applyBorder="1" applyAlignment="1">
      <alignment vertical="center"/>
    </xf>
    <xf numFmtId="0" fontId="48" fillId="0" borderId="10" xfId="0" applyFont="1" applyBorder="1" applyAlignment="1" applyProtection="1">
      <alignment horizontal="center" wrapText="1"/>
    </xf>
    <xf numFmtId="0" fontId="47" fillId="0" borderId="0" xfId="0" applyFont="1" applyBorder="1" applyAlignment="1" applyProtection="1">
      <alignment vertical="top" wrapText="1"/>
    </xf>
    <xf numFmtId="0" fontId="47" fillId="0" borderId="0" xfId="0" applyFont="1" applyAlignment="1" applyProtection="1">
      <alignment vertical="top" wrapText="1"/>
    </xf>
    <xf numFmtId="0" fontId="70" fillId="14" borderId="0" xfId="0" applyFont="1" applyFill="1" applyBorder="1" applyAlignment="1">
      <alignment horizontal="left" vertical="center" indent="2"/>
    </xf>
    <xf numFmtId="0" fontId="53" fillId="14" borderId="0" xfId="0" applyFont="1" applyFill="1" applyBorder="1" applyAlignment="1">
      <alignment horizontal="left" vertical="center" indent="2"/>
    </xf>
    <xf numFmtId="0" fontId="63" fillId="3" borderId="15" xfId="0" applyFont="1" applyFill="1" applyBorder="1" applyAlignment="1" applyProtection="1">
      <alignment horizontal="center" vertical="center" wrapText="1"/>
      <protection locked="0"/>
    </xf>
    <xf numFmtId="0" fontId="63" fillId="3" borderId="22" xfId="0" applyFont="1" applyFill="1" applyBorder="1" applyAlignment="1" applyProtection="1">
      <alignment horizontal="center" vertical="center" wrapText="1"/>
      <protection locked="0"/>
    </xf>
    <xf numFmtId="0" fontId="25" fillId="16" borderId="0" xfId="0" applyFont="1" applyFill="1" applyAlignment="1" applyProtection="1">
      <alignment horizontal="center" vertical="top" textRotation="255"/>
      <protection hidden="1"/>
    </xf>
    <xf numFmtId="0" fontId="64" fillId="16" borderId="0" xfId="0" applyFont="1" applyFill="1" applyAlignment="1" applyProtection="1">
      <alignment horizontal="center" vertical="top" textRotation="255"/>
      <protection hidden="1"/>
    </xf>
    <xf numFmtId="0" fontId="64" fillId="10" borderId="0" xfId="0" applyFont="1" applyFill="1" applyAlignment="1" applyProtection="1">
      <alignment horizontal="center" vertical="top" textRotation="255"/>
      <protection hidden="1"/>
    </xf>
    <xf numFmtId="0" fontId="64" fillId="8" borderId="0" xfId="0" applyFont="1" applyFill="1" applyAlignment="1" applyProtection="1">
      <alignment horizontal="center" vertical="top" textRotation="255"/>
      <protection hidden="1"/>
    </xf>
    <xf numFmtId="0" fontId="25" fillId="11" borderId="0" xfId="0" applyFont="1" applyFill="1" applyAlignment="1" applyProtection="1">
      <alignment horizontal="center" vertical="top" textRotation="255"/>
      <protection hidden="1"/>
    </xf>
    <xf numFmtId="0" fontId="64" fillId="11" borderId="0" xfId="0" applyFont="1" applyFill="1" applyAlignment="1" applyProtection="1">
      <alignment horizontal="center" vertical="top" textRotation="255"/>
      <protection hidden="1"/>
    </xf>
    <xf numFmtId="0" fontId="61" fillId="3" borderId="0" xfId="0" applyFont="1" applyFill="1" applyBorder="1" applyAlignment="1">
      <alignment horizontal="left" vertical="center" indent="1"/>
    </xf>
    <xf numFmtId="0" fontId="64" fillId="6" borderId="0" xfId="0" applyFont="1" applyFill="1" applyAlignment="1" applyProtection="1">
      <alignment horizontal="center" vertical="top" textRotation="255"/>
      <protection hidden="1"/>
    </xf>
    <xf numFmtId="0" fontId="64" fillId="7" borderId="0" xfId="0" applyFont="1" applyFill="1" applyAlignment="1" applyProtection="1">
      <alignment horizontal="center" vertical="top" textRotation="255"/>
      <protection hidden="1"/>
    </xf>
    <xf numFmtId="0" fontId="64" fillId="19" borderId="0" xfId="0" applyFont="1" applyFill="1" applyAlignment="1" applyProtection="1">
      <alignment horizontal="center" vertical="top" textRotation="255"/>
      <protection hidden="1"/>
    </xf>
    <xf numFmtId="0" fontId="64" fillId="18" borderId="0" xfId="0" applyFont="1" applyFill="1" applyAlignment="1" applyProtection="1">
      <alignment horizontal="center" vertical="top" textRotation="255"/>
      <protection hidden="1"/>
    </xf>
    <xf numFmtId="0" fontId="64" fillId="9" borderId="0" xfId="0" applyFont="1" applyFill="1" applyAlignment="1" applyProtection="1">
      <alignment horizontal="center" vertical="top" textRotation="255"/>
      <protection hidden="1"/>
    </xf>
    <xf numFmtId="0" fontId="64" fillId="17" borderId="0" xfId="0" applyFont="1" applyFill="1" applyAlignment="1" applyProtection="1">
      <alignment horizontal="center" vertical="top" textRotation="255"/>
      <protection hidden="1"/>
    </xf>
    <xf numFmtId="0" fontId="64" fillId="12" borderId="0" xfId="0" applyFont="1" applyFill="1" applyAlignment="1" applyProtection="1">
      <alignment horizontal="center" vertical="top" textRotation="255"/>
      <protection hidden="1"/>
    </xf>
    <xf numFmtId="0" fontId="27" fillId="3" borderId="18" xfId="0" applyFont="1" applyFill="1" applyBorder="1" applyAlignment="1" applyProtection="1">
      <alignment horizontal="left" vertical="center" wrapText="1"/>
      <protection hidden="1"/>
    </xf>
    <xf numFmtId="0" fontId="27" fillId="3" borderId="19" xfId="0" applyFont="1" applyFill="1" applyBorder="1" applyAlignment="1" applyProtection="1">
      <alignment horizontal="left" vertical="center" wrapText="1"/>
      <protection hidden="1"/>
    </xf>
    <xf numFmtId="0" fontId="27" fillId="3" borderId="20" xfId="0" applyFont="1" applyFill="1" applyBorder="1" applyAlignment="1" applyProtection="1">
      <alignment horizontal="left" vertical="center" wrapText="1"/>
      <protection hidden="1"/>
    </xf>
    <xf numFmtId="0" fontId="8" fillId="3" borderId="0" xfId="0" applyFont="1" applyFill="1" applyAlignment="1" applyProtection="1">
      <alignment horizontal="center"/>
      <protection hidden="1"/>
    </xf>
    <xf numFmtId="0" fontId="28" fillId="13" borderId="19" xfId="0" applyFont="1" applyFill="1" applyBorder="1" applyAlignment="1" applyProtection="1">
      <alignment horizontal="center"/>
      <protection hidden="1"/>
    </xf>
    <xf numFmtId="0" fontId="28" fillId="13" borderId="20" xfId="0" applyFont="1" applyFill="1" applyBorder="1" applyAlignment="1" applyProtection="1">
      <alignment horizontal="center"/>
      <protection hidden="1"/>
    </xf>
    <xf numFmtId="0" fontId="29" fillId="13" borderId="21" xfId="0" applyFont="1" applyFill="1" applyBorder="1" applyAlignment="1" applyProtection="1">
      <alignment horizontal="left"/>
      <protection hidden="1"/>
    </xf>
    <xf numFmtId="0" fontId="29" fillId="13" borderId="10" xfId="0" applyFont="1" applyFill="1" applyBorder="1" applyAlignment="1" applyProtection="1">
      <alignment horizontal="left"/>
      <protection hidden="1"/>
    </xf>
    <xf numFmtId="0" fontId="29" fillId="13" borderId="18" xfId="0" applyFont="1" applyFill="1" applyBorder="1" applyAlignment="1" applyProtection="1">
      <alignment horizontal="left"/>
      <protection hidden="1"/>
    </xf>
    <xf numFmtId="0" fontId="29" fillId="13" borderId="19" xfId="0" applyFont="1" applyFill="1" applyBorder="1" applyAlignment="1" applyProtection="1">
      <alignment horizontal="left"/>
      <protection hidden="1"/>
    </xf>
    <xf numFmtId="0" fontId="8" fillId="3" borderId="21" xfId="0" applyFont="1" applyFill="1" applyBorder="1" applyAlignment="1" applyProtection="1">
      <alignment horizontal="center"/>
      <protection hidden="1"/>
    </xf>
    <xf numFmtId="0" fontId="8" fillId="3" borderId="10" xfId="0" applyFont="1" applyFill="1" applyBorder="1" applyAlignment="1" applyProtection="1">
      <alignment horizontal="center"/>
      <protection hidden="1"/>
    </xf>
    <xf numFmtId="0" fontId="8" fillId="3" borderId="22" xfId="0" applyFont="1" applyFill="1" applyBorder="1" applyAlignment="1" applyProtection="1">
      <alignment horizontal="center"/>
      <protection hidden="1"/>
    </xf>
    <xf numFmtId="0" fontId="33" fillId="3" borderId="18" xfId="0" applyFont="1" applyFill="1" applyBorder="1" applyAlignment="1" applyProtection="1">
      <alignment horizontal="center"/>
      <protection hidden="1"/>
    </xf>
    <xf numFmtId="0" fontId="33" fillId="3" borderId="19" xfId="0" applyFont="1" applyFill="1" applyBorder="1" applyAlignment="1" applyProtection="1">
      <alignment horizontal="center"/>
      <protection hidden="1"/>
    </xf>
    <xf numFmtId="0" fontId="33" fillId="3" borderId="20" xfId="0" applyFont="1" applyFill="1" applyBorder="1" applyAlignment="1" applyProtection="1">
      <alignment horizontal="center"/>
      <protection hidden="1"/>
    </xf>
    <xf numFmtId="0" fontId="33" fillId="3" borderId="12" xfId="0" applyFont="1" applyFill="1" applyBorder="1" applyAlignment="1" applyProtection="1">
      <alignment horizontal="center"/>
      <protection hidden="1"/>
    </xf>
    <xf numFmtId="0" fontId="14" fillId="3" borderId="0" xfId="0" applyFont="1" applyFill="1" applyBorder="1" applyAlignment="1">
      <alignment horizontal="right" vertical="center"/>
    </xf>
    <xf numFmtId="14" fontId="8" fillId="0" borderId="12" xfId="0" applyNumberFormat="1" applyFont="1" applyFill="1" applyBorder="1" applyAlignment="1">
      <alignment horizontal="left" vertical="top"/>
    </xf>
    <xf numFmtId="0" fontId="8" fillId="0" borderId="12" xfId="0" applyNumberFormat="1" applyFont="1" applyFill="1" applyBorder="1" applyAlignment="1">
      <alignment horizontal="left" vertical="top"/>
    </xf>
    <xf numFmtId="0" fontId="16" fillId="23" borderId="2" xfId="0" applyNumberFormat="1" applyFont="1" applyFill="1" applyBorder="1" applyAlignment="1" applyProtection="1">
      <alignment horizontal="center" vertical="center"/>
      <protection hidden="1"/>
    </xf>
    <xf numFmtId="0" fontId="16" fillId="23" borderId="3" xfId="0" applyNumberFormat="1" applyFont="1" applyFill="1" applyBorder="1" applyAlignment="1" applyProtection="1">
      <alignment horizontal="center" vertical="center"/>
      <protection hidden="1"/>
    </xf>
    <xf numFmtId="0" fontId="16" fillId="23" borderId="4" xfId="0" applyNumberFormat="1" applyFont="1" applyFill="1" applyBorder="1" applyAlignment="1" applyProtection="1">
      <alignment horizontal="center" vertical="center"/>
      <protection hidden="1"/>
    </xf>
    <xf numFmtId="0" fontId="16" fillId="14" borderId="2" xfId="0" applyNumberFormat="1" applyFont="1" applyFill="1" applyBorder="1" applyAlignment="1" applyProtection="1">
      <alignment horizontal="center" vertical="center"/>
      <protection hidden="1"/>
    </xf>
    <xf numFmtId="0" fontId="16" fillId="14" borderId="3" xfId="0" applyNumberFormat="1" applyFont="1" applyFill="1" applyBorder="1" applyAlignment="1" applyProtection="1">
      <alignment horizontal="center" vertical="center"/>
      <protection hidden="1"/>
    </xf>
    <xf numFmtId="0" fontId="16" fillId="14" borderId="4" xfId="0" applyNumberFormat="1" applyFont="1" applyFill="1" applyBorder="1" applyAlignment="1" applyProtection="1">
      <alignment horizontal="center" vertical="center"/>
      <protection hidden="1"/>
    </xf>
    <xf numFmtId="0" fontId="16" fillId="7" borderId="5" xfId="0" applyNumberFormat="1" applyFont="1" applyFill="1" applyBorder="1" applyAlignment="1" applyProtection="1">
      <alignment horizontal="center" vertical="center"/>
      <protection hidden="1"/>
    </xf>
    <xf numFmtId="0" fontId="16" fillId="7" borderId="3" xfId="0" applyNumberFormat="1" applyFont="1" applyFill="1" applyBorder="1" applyAlignment="1" applyProtection="1">
      <alignment horizontal="center" vertical="center"/>
      <protection hidden="1"/>
    </xf>
    <xf numFmtId="0" fontId="16" fillId="7" borderId="4" xfId="0" applyNumberFormat="1" applyFont="1" applyFill="1" applyBorder="1" applyAlignment="1" applyProtection="1">
      <alignment horizontal="center" vertical="center"/>
      <protection hidden="1"/>
    </xf>
    <xf numFmtId="0" fontId="16" fillId="21" borderId="2" xfId="0" applyNumberFormat="1" applyFont="1" applyFill="1" applyBorder="1" applyAlignment="1" applyProtection="1">
      <alignment horizontal="center" vertical="center"/>
      <protection hidden="1"/>
    </xf>
    <xf numFmtId="0" fontId="16" fillId="21" borderId="3" xfId="0" applyNumberFormat="1" applyFont="1" applyFill="1" applyBorder="1" applyAlignment="1" applyProtection="1">
      <alignment horizontal="center" vertical="center"/>
      <protection hidden="1"/>
    </xf>
    <xf numFmtId="0" fontId="16" fillId="21" borderId="4" xfId="0" applyNumberFormat="1" applyFont="1" applyFill="1" applyBorder="1" applyAlignment="1" applyProtection="1">
      <alignment horizontal="center" vertical="center"/>
      <protection hidden="1"/>
    </xf>
    <xf numFmtId="0" fontId="16" fillId="22" borderId="2" xfId="0" applyNumberFormat="1" applyFont="1" applyFill="1" applyBorder="1" applyAlignment="1" applyProtection="1">
      <alignment horizontal="center" vertical="center"/>
      <protection hidden="1"/>
    </xf>
    <xf numFmtId="0" fontId="16" fillId="22" borderId="3" xfId="0" applyNumberFormat="1" applyFont="1" applyFill="1" applyBorder="1" applyAlignment="1" applyProtection="1">
      <alignment horizontal="center" vertical="center"/>
      <protection hidden="1"/>
    </xf>
    <xf numFmtId="0" fontId="16" fillId="22" borderId="4" xfId="0" applyNumberFormat="1" applyFont="1" applyFill="1" applyBorder="1" applyAlignment="1" applyProtection="1">
      <alignment horizontal="center" vertical="center"/>
      <protection hidden="1"/>
    </xf>
    <xf numFmtId="0" fontId="16" fillId="10" borderId="6" xfId="0" applyNumberFormat="1" applyFont="1" applyFill="1" applyBorder="1" applyAlignment="1" applyProtection="1">
      <alignment horizontal="center" vertical="center"/>
      <protection hidden="1"/>
    </xf>
    <xf numFmtId="0" fontId="16" fillId="10" borderId="7" xfId="0" applyNumberFormat="1" applyFont="1" applyFill="1" applyBorder="1" applyAlignment="1" applyProtection="1">
      <alignment horizontal="center" vertical="center"/>
      <protection hidden="1"/>
    </xf>
    <xf numFmtId="0" fontId="16" fillId="10" borderId="26" xfId="0" applyNumberFormat="1" applyFont="1" applyFill="1" applyBorder="1" applyAlignment="1" applyProtection="1">
      <alignment horizontal="center" vertical="center"/>
      <protection hidden="1"/>
    </xf>
    <xf numFmtId="0" fontId="16" fillId="12" borderId="2" xfId="0" applyNumberFormat="1" applyFont="1" applyFill="1" applyBorder="1" applyAlignment="1" applyProtection="1">
      <alignment horizontal="center" vertical="center"/>
      <protection hidden="1"/>
    </xf>
    <xf numFmtId="0" fontId="16" fillId="12" borderId="3" xfId="0" applyNumberFormat="1" applyFont="1" applyFill="1" applyBorder="1" applyAlignment="1" applyProtection="1">
      <alignment horizontal="center" vertical="center"/>
      <protection hidden="1"/>
    </xf>
    <xf numFmtId="0" fontId="16" fillId="12" borderId="4" xfId="0" applyNumberFormat="1" applyFont="1" applyFill="1" applyBorder="1" applyAlignment="1" applyProtection="1">
      <alignment horizontal="center" vertical="center"/>
      <protection hidden="1"/>
    </xf>
    <xf numFmtId="0" fontId="16" fillId="6" borderId="2" xfId="0" applyNumberFormat="1" applyFont="1" applyFill="1" applyBorder="1" applyAlignment="1" applyProtection="1">
      <alignment horizontal="center" vertical="center"/>
      <protection hidden="1"/>
    </xf>
    <xf numFmtId="0" fontId="16" fillId="6" borderId="3" xfId="0" applyNumberFormat="1" applyFont="1" applyFill="1" applyBorder="1" applyAlignment="1" applyProtection="1">
      <alignment horizontal="center" vertical="center"/>
      <protection hidden="1"/>
    </xf>
    <xf numFmtId="0" fontId="16" fillId="6" borderId="4" xfId="0" applyNumberFormat="1" applyFont="1" applyFill="1" applyBorder="1" applyAlignment="1" applyProtection="1">
      <alignment horizontal="center" vertical="center"/>
      <protection hidden="1"/>
    </xf>
    <xf numFmtId="0" fontId="16" fillId="11" borderId="2" xfId="0" applyNumberFormat="1" applyFont="1" applyFill="1" applyBorder="1" applyAlignment="1" applyProtection="1">
      <alignment horizontal="center" vertical="center"/>
      <protection hidden="1"/>
    </xf>
    <xf numFmtId="0" fontId="16" fillId="11" borderId="3" xfId="0" applyNumberFormat="1" applyFont="1" applyFill="1" applyBorder="1" applyAlignment="1" applyProtection="1">
      <alignment horizontal="center" vertical="center"/>
      <protection hidden="1"/>
    </xf>
    <xf numFmtId="0" fontId="16" fillId="11" borderId="4" xfId="0" applyNumberFormat="1" applyFont="1" applyFill="1" applyBorder="1" applyAlignment="1" applyProtection="1">
      <alignment horizontal="center" vertical="center"/>
      <protection hidden="1"/>
    </xf>
    <xf numFmtId="0" fontId="25" fillId="2" borderId="13" xfId="0" applyFont="1" applyFill="1" applyBorder="1" applyAlignment="1" applyProtection="1">
      <alignment horizontal="center" vertical="center"/>
      <protection hidden="1"/>
    </xf>
    <xf numFmtId="0" fontId="25" fillId="2" borderId="14" xfId="0" applyFont="1" applyFill="1" applyBorder="1" applyAlignment="1" applyProtection="1">
      <alignment horizontal="center" vertical="center"/>
      <protection hidden="1"/>
    </xf>
    <xf numFmtId="0" fontId="25" fillId="2" borderId="15" xfId="0" applyFont="1" applyFill="1" applyBorder="1" applyAlignment="1" applyProtection="1">
      <alignment horizontal="center" vertical="center"/>
      <protection hidden="1"/>
    </xf>
    <xf numFmtId="0" fontId="16" fillId="20" borderId="2" xfId="0" applyNumberFormat="1" applyFont="1" applyFill="1" applyBorder="1" applyAlignment="1" applyProtection="1">
      <alignment horizontal="center" vertical="center"/>
      <protection hidden="1"/>
    </xf>
    <xf numFmtId="0" fontId="16" fillId="20" borderId="3" xfId="0" applyNumberFormat="1" applyFont="1" applyFill="1" applyBorder="1" applyAlignment="1" applyProtection="1">
      <alignment horizontal="center" vertical="center"/>
      <protection hidden="1"/>
    </xf>
    <xf numFmtId="0" fontId="16" fillId="20" borderId="4" xfId="0" applyNumberFormat="1" applyFont="1" applyFill="1" applyBorder="1" applyAlignment="1" applyProtection="1">
      <alignment horizontal="center" vertical="center"/>
      <protection hidden="1"/>
    </xf>
    <xf numFmtId="0" fontId="22" fillId="8" borderId="2" xfId="0" applyNumberFormat="1" applyFont="1" applyFill="1" applyBorder="1" applyAlignment="1" applyProtection="1">
      <alignment horizontal="center" vertical="center"/>
      <protection hidden="1"/>
    </xf>
    <xf numFmtId="0" fontId="22" fillId="8" borderId="3" xfId="0" applyNumberFormat="1" applyFont="1" applyFill="1" applyBorder="1" applyAlignment="1" applyProtection="1">
      <alignment horizontal="center" vertical="center"/>
      <protection hidden="1"/>
    </xf>
    <xf numFmtId="0" fontId="22" fillId="8" borderId="4" xfId="0" applyNumberFormat="1" applyFont="1" applyFill="1" applyBorder="1" applyAlignment="1" applyProtection="1">
      <alignment horizontal="center" vertical="center"/>
      <protection hidden="1"/>
    </xf>
  </cellXfs>
  <cellStyles count="9">
    <cellStyle name="Followed Hyperlink" xfId="3" builtinId="9" hidden="1"/>
    <cellStyle name="Followed Hyperlink" xfId="5" builtinId="9" hidden="1"/>
    <cellStyle name="Hyperlink" xfId="2" builtinId="8" hidden="1"/>
    <cellStyle name="Hyperlink" xfId="4" builtinId="8" hidden="1"/>
    <cellStyle name="Normal" xfId="0" builtinId="0"/>
    <cellStyle name="Normal 3" xfId="1" xr:uid="{00000000-0005-0000-0000-000005000000}"/>
    <cellStyle name="Note" xfId="8" builtinId="10"/>
    <cellStyle name="Output" xfId="7" builtinId="21"/>
    <cellStyle name="Percent" xfId="6" builtinId="5"/>
  </cellStyles>
  <dxfs count="1298">
    <dxf>
      <font>
        <b val="0"/>
        <i/>
        <strike val="0"/>
        <condense val="0"/>
        <extend val="0"/>
        <outline val="0"/>
        <shadow val="0"/>
        <u val="none"/>
        <vertAlign val="baseline"/>
        <sz val="11"/>
        <color rgb="FF222222"/>
        <name val="Avenir LT Com 35 Light"/>
        <scheme val="none"/>
      </font>
      <fill>
        <patternFill patternType="solid">
          <fgColor indexed="64"/>
          <bgColor rgb="FFFFFFFF"/>
        </patternFill>
      </fill>
      <alignment horizontal="center" vertical="center" textRotation="0" wrapText="1" indent="0" justifyLastLine="0" shrinkToFit="0" readingOrder="0"/>
      <border diagonalUp="0" diagonalDown="0">
        <left/>
        <right style="medium">
          <color rgb="FF999999"/>
        </right>
        <top/>
        <bottom style="medium">
          <color indexed="64"/>
        </bottom>
        <vertical/>
        <horizontal/>
      </border>
    </dxf>
    <dxf>
      <numFmt numFmtId="13" formatCode="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color theme="0"/>
      </font>
      <fill>
        <patternFill>
          <bgColor theme="8"/>
        </patternFill>
      </fill>
    </dxf>
    <dxf>
      <font>
        <color theme="0"/>
      </font>
      <fill>
        <patternFill>
          <bgColor theme="4"/>
        </patternFill>
      </fill>
    </dxf>
    <dxf>
      <font>
        <color theme="0"/>
      </font>
      <fill>
        <patternFill>
          <bgColor theme="8"/>
        </patternFill>
      </fill>
    </dxf>
    <dxf>
      <font>
        <color theme="0"/>
      </font>
      <fill>
        <patternFill>
          <bgColor theme="4"/>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bgColor theme="0" tint="-0.14996795556505021"/>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rgb="FF9C0006"/>
      </font>
      <fill>
        <patternFill>
          <bgColor rgb="FFFFC7CE"/>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auto="1"/>
      </font>
      <fill>
        <patternFill>
          <bgColor theme="7"/>
        </patternFill>
      </fill>
    </dxf>
    <dxf>
      <font>
        <color auto="1"/>
      </font>
      <fill>
        <patternFill>
          <bgColor theme="9"/>
        </patternFill>
      </fill>
    </dxf>
    <dxf>
      <font>
        <color auto="1"/>
      </font>
      <fill>
        <patternFill>
          <bgColor theme="0" tint="-0.34998626667073579"/>
        </patternFill>
      </fill>
    </dxf>
    <dxf>
      <font>
        <color auto="1"/>
      </font>
      <fill>
        <patternFill>
          <bgColor theme="7"/>
        </patternFill>
      </fill>
    </dxf>
    <dxf>
      <font>
        <color theme="1"/>
      </font>
      <fill>
        <patternFill>
          <bgColor theme="9"/>
        </patternFill>
      </fill>
    </dxf>
    <dxf>
      <font>
        <color theme="1"/>
      </font>
      <fill>
        <patternFill>
          <bgColor theme="8"/>
        </patternFill>
      </fill>
    </dxf>
    <dxf>
      <font>
        <color theme="1"/>
      </font>
      <fill>
        <patternFill>
          <bgColor theme="0" tint="-0.34998626667073579"/>
        </patternFill>
      </fill>
    </dxf>
    <dxf>
      <font>
        <color theme="0"/>
      </font>
      <fill>
        <patternFill>
          <bgColor theme="3"/>
        </patternFill>
      </fill>
    </dxf>
    <dxf>
      <font>
        <color auto="1"/>
      </font>
      <fill>
        <patternFill>
          <bgColor theme="8"/>
        </patternFill>
      </fill>
    </dxf>
    <dxf>
      <font>
        <color theme="0"/>
      </font>
      <fill>
        <patternFill>
          <bgColor theme="8"/>
        </patternFill>
      </fill>
    </dxf>
    <dxf>
      <font>
        <color theme="0"/>
      </font>
      <fill>
        <patternFill>
          <bgColor theme="4"/>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color auto="1"/>
      </font>
      <fill>
        <patternFill>
          <bgColor theme="7"/>
        </patternFill>
      </fill>
    </dxf>
    <dxf>
      <font>
        <color theme="1"/>
      </font>
      <fill>
        <patternFill>
          <bgColor theme="9"/>
        </patternFill>
      </fill>
    </dxf>
    <dxf>
      <font>
        <color theme="1"/>
      </font>
      <fill>
        <patternFill>
          <bgColor theme="8"/>
        </patternFill>
      </fill>
    </dxf>
    <dxf>
      <font>
        <color auto="1"/>
      </font>
      <fill>
        <patternFill>
          <bgColor theme="6"/>
        </patternFill>
      </fill>
    </dxf>
    <dxf>
      <font>
        <color theme="0"/>
      </font>
      <fill>
        <patternFill>
          <bgColor theme="3"/>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297"/>
      <tableStyleElement type="headerRow" dxfId="1296"/>
    </tableStyle>
  </tableStyles>
  <colors>
    <mruColors>
      <color rgb="FF808080"/>
      <color rgb="FFCFE2F3"/>
      <color rgb="FFEAD1DC"/>
      <color rgb="FFF4CCCC"/>
      <color rgb="FFE6B8AF"/>
      <color rgb="FF96D4DA"/>
      <color rgb="FF2886A0"/>
      <color rgb="FFD88E7E"/>
      <color rgb="FFCA6450"/>
      <color rgb="FF85B4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6259286</xdr:colOff>
      <xdr:row>0</xdr:row>
      <xdr:rowOff>292553</xdr:rowOff>
    </xdr:from>
    <xdr:to>
      <xdr:col>2</xdr:col>
      <xdr:colOff>1886386</xdr:colOff>
      <xdr:row>1</xdr:row>
      <xdr:rowOff>267189</xdr:rowOff>
    </xdr:to>
    <xdr:pic>
      <xdr:nvPicPr>
        <xdr:cNvPr id="4" name="Picture 3">
          <a:extLst>
            <a:ext uri="{FF2B5EF4-FFF2-40B4-BE49-F238E27FC236}">
              <a16:creationId xmlns:a16="http://schemas.microsoft.com/office/drawing/2014/main" id="{860EE4D5-614A-4791-8E79-B36F7B79DAD2}"/>
            </a:ext>
          </a:extLst>
        </xdr:cNvPr>
        <xdr:cNvPicPr>
          <a:picLocks noChangeAspect="1"/>
        </xdr:cNvPicPr>
      </xdr:nvPicPr>
      <xdr:blipFill>
        <a:blip xmlns:r="http://schemas.openxmlformats.org/officeDocument/2006/relationships" r:embed="rId1"/>
        <a:stretch>
          <a:fillRect/>
        </a:stretch>
      </xdr:blipFill>
      <xdr:spPr>
        <a:xfrm>
          <a:off x="6429376" y="292553"/>
          <a:ext cx="1883664" cy="9951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3796393</xdr:colOff>
      <xdr:row>4</xdr:row>
      <xdr:rowOff>34019</xdr:rowOff>
    </xdr:from>
    <xdr:to>
      <xdr:col>6</xdr:col>
      <xdr:colOff>5909733</xdr:colOff>
      <xdr:row>9</xdr:row>
      <xdr:rowOff>97101</xdr:rowOff>
    </xdr:to>
    <xdr:pic>
      <xdr:nvPicPr>
        <xdr:cNvPr id="4" name="Picture 3">
          <a:extLst>
            <a:ext uri="{FF2B5EF4-FFF2-40B4-BE49-F238E27FC236}">
              <a16:creationId xmlns:a16="http://schemas.microsoft.com/office/drawing/2014/main" id="{7CEE1612-BD77-47DD-B809-34D230EA9217}"/>
            </a:ext>
          </a:extLst>
        </xdr:cNvPr>
        <xdr:cNvPicPr>
          <a:picLocks noChangeAspect="1"/>
        </xdr:cNvPicPr>
      </xdr:nvPicPr>
      <xdr:blipFill>
        <a:blip xmlns:r="http://schemas.openxmlformats.org/officeDocument/2006/relationships" r:embed="rId1"/>
        <a:stretch>
          <a:fillRect/>
        </a:stretch>
      </xdr:blipFill>
      <xdr:spPr>
        <a:xfrm>
          <a:off x="8859460" y="965352"/>
          <a:ext cx="2113340" cy="1112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375046</xdr:colOff>
      <xdr:row>1</xdr:row>
      <xdr:rowOff>77391</xdr:rowOff>
    </xdr:from>
    <xdr:to>
      <xdr:col>25</xdr:col>
      <xdr:colOff>460866</xdr:colOff>
      <xdr:row>5</xdr:row>
      <xdr:rowOff>143875</xdr:rowOff>
    </xdr:to>
    <xdr:pic>
      <xdr:nvPicPr>
        <xdr:cNvPr id="4" name="Picture 3">
          <a:extLst>
            <a:ext uri="{FF2B5EF4-FFF2-40B4-BE49-F238E27FC236}">
              <a16:creationId xmlns:a16="http://schemas.microsoft.com/office/drawing/2014/main" id="{EF562130-B2DB-4B9E-B90E-1772FC39132F}"/>
            </a:ext>
          </a:extLst>
        </xdr:cNvPr>
        <xdr:cNvPicPr>
          <a:picLocks noChangeAspect="1"/>
        </xdr:cNvPicPr>
      </xdr:nvPicPr>
      <xdr:blipFill>
        <a:blip xmlns:r="http://schemas.openxmlformats.org/officeDocument/2006/relationships" r:embed="rId1"/>
        <a:stretch>
          <a:fillRect/>
        </a:stretch>
      </xdr:blipFill>
      <xdr:spPr>
        <a:xfrm>
          <a:off x="12072937" y="250032"/>
          <a:ext cx="1883664" cy="995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arenquintana/Downloads/WELL%20v1%20Scorecard%20with%20Requirements_New%20and%20Existing%20Interiors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
      <sheetName val="Certification Matrix"/>
      <sheetName val="Project Checklist"/>
    </sheetNames>
    <sheetDataSet>
      <sheetData sheetId="0" refreshError="1"/>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I11:I22" totalsRowShown="0">
  <autoFilter ref="I11:I22" xr:uid="{00000000-0009-0000-0100-000002000000}"/>
  <tableColumns count="1">
    <tableColumn id="1" xr3:uid="{00000000-0010-0000-0000-000001000000}" name="Yes"/>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H11:H14" totalsRowShown="0" headerRowDxfId="4" dataDxfId="3">
  <autoFilter ref="H11:H14" xr:uid="{00000000-0009-0000-0100-000004000000}"/>
  <tableColumns count="1">
    <tableColumn id="1" xr3:uid="{00000000-0010-0000-0100-000001000000}" name="Pursuing" dataDxfId="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certBldg" displayName="certBldg" ref="M11:O18" totalsRowShown="0">
  <autoFilter ref="M11:O18" xr:uid="{00000000-0009-0000-0100-000001000000}"/>
  <tableColumns count="3">
    <tableColumn id="1" xr3:uid="{00000000-0010-0000-0200-000001000000}" name="# cert"/>
    <tableColumn id="2" xr3:uid="{00000000-0010-0000-0200-000002000000}" name="Percent certified" dataDxfId="1"/>
    <tableColumn id="3" xr3:uid="{00000000-0010-0000-0200-000003000000}" name="poi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3"/>
  <sheetViews>
    <sheetView showGridLines="0" tabSelected="1" zoomScale="70" zoomScaleNormal="70" zoomScalePageLayoutView="70" workbookViewId="0">
      <selection activeCell="C29" sqref="C29"/>
    </sheetView>
  </sheetViews>
  <sheetFormatPr baseColWidth="10" defaultColWidth="10.83203125" defaultRowHeight="18"/>
  <cols>
    <col min="1" max="1" width="2.33203125" style="76" customWidth="1"/>
    <col min="2" max="2" width="35" style="90" customWidth="1"/>
    <col min="3" max="3" width="98.6640625" style="90" customWidth="1"/>
    <col min="4" max="4" width="30.33203125" style="78" customWidth="1"/>
    <col min="5" max="5" width="22.83203125" style="76" bestFit="1" customWidth="1"/>
    <col min="6" max="6" width="30.83203125" style="76" customWidth="1"/>
    <col min="7" max="7" width="27.5" style="76" customWidth="1"/>
    <col min="8" max="16384" width="10.83203125" style="76"/>
  </cols>
  <sheetData>
    <row r="1" spans="1:6" ht="80.25" customHeight="1">
      <c r="B1" s="77" t="s">
        <v>54</v>
      </c>
      <c r="C1" s="77"/>
    </row>
    <row r="2" spans="1:6" ht="54" customHeight="1">
      <c r="A2" s="79"/>
      <c r="B2" s="80" t="s">
        <v>53</v>
      </c>
      <c r="C2" s="80"/>
    </row>
    <row r="3" spans="1:6" ht="17.75" customHeight="1">
      <c r="A3" s="79"/>
      <c r="B3" s="182" t="s">
        <v>860</v>
      </c>
      <c r="C3" s="182"/>
      <c r="D3" s="81"/>
      <c r="E3" s="82"/>
      <c r="F3" s="83"/>
    </row>
    <row r="4" spans="1:6" ht="110.25" customHeight="1">
      <c r="A4" s="79"/>
      <c r="B4" s="182"/>
      <c r="C4" s="182"/>
      <c r="D4" s="181" t="s">
        <v>806</v>
      </c>
      <c r="E4" s="181"/>
    </row>
    <row r="5" spans="1:6">
      <c r="A5" s="79"/>
      <c r="B5" s="182"/>
      <c r="C5" s="182"/>
      <c r="D5" s="84" t="s">
        <v>804</v>
      </c>
      <c r="E5" s="85" t="s">
        <v>805</v>
      </c>
    </row>
    <row r="6" spans="1:6">
      <c r="A6" s="79"/>
      <c r="B6" s="182"/>
      <c r="C6" s="182"/>
      <c r="D6" s="86" t="s">
        <v>29</v>
      </c>
      <c r="E6" s="87">
        <v>50</v>
      </c>
    </row>
    <row r="7" spans="1:6">
      <c r="A7" s="79"/>
      <c r="B7" s="182"/>
      <c r="C7" s="182"/>
      <c r="D7" s="86" t="s">
        <v>30</v>
      </c>
      <c r="E7" s="87">
        <v>60</v>
      </c>
    </row>
    <row r="8" spans="1:6">
      <c r="A8" s="79"/>
      <c r="B8" s="182"/>
      <c r="C8" s="182"/>
      <c r="D8" s="86" t="s">
        <v>28</v>
      </c>
      <c r="E8" s="87">
        <v>80</v>
      </c>
    </row>
    <row r="9" spans="1:6" ht="61.25" customHeight="1">
      <c r="A9" s="79"/>
      <c r="B9" s="182"/>
      <c r="C9" s="182"/>
      <c r="D9" s="88"/>
      <c r="E9" s="89"/>
    </row>
    <row r="10" spans="1:6" ht="21">
      <c r="A10" s="79"/>
      <c r="B10" s="91" t="s">
        <v>56</v>
      </c>
      <c r="C10" s="91"/>
      <c r="D10" s="92"/>
    </row>
    <row r="11" spans="1:6" ht="56.25" customHeight="1">
      <c r="A11" s="79"/>
      <c r="B11" s="183" t="s">
        <v>888</v>
      </c>
      <c r="C11" s="183"/>
      <c r="D11" s="92"/>
      <c r="E11" s="93"/>
    </row>
    <row r="12" spans="1:6">
      <c r="A12" s="79"/>
      <c r="B12" s="96" t="s">
        <v>889</v>
      </c>
      <c r="D12" s="92"/>
    </row>
    <row r="13" spans="1:6">
      <c r="A13" s="79"/>
      <c r="B13" s="98" t="s">
        <v>892</v>
      </c>
      <c r="C13" s="90" t="s">
        <v>891</v>
      </c>
      <c r="D13" s="92"/>
    </row>
    <row r="14" spans="1:6" ht="54">
      <c r="A14" s="79"/>
      <c r="B14" s="98" t="s">
        <v>893</v>
      </c>
      <c r="C14" s="90" t="s">
        <v>896</v>
      </c>
      <c r="D14" s="92"/>
    </row>
    <row r="15" spans="1:6" ht="36">
      <c r="A15" s="79"/>
      <c r="B15" s="98" t="s">
        <v>894</v>
      </c>
      <c r="C15" s="90" t="s">
        <v>895</v>
      </c>
      <c r="D15" s="92"/>
    </row>
    <row r="16" spans="1:6" ht="72">
      <c r="A16" s="79"/>
      <c r="B16" s="98" t="s">
        <v>912</v>
      </c>
      <c r="C16" s="90" t="s">
        <v>897</v>
      </c>
      <c r="D16" s="92"/>
    </row>
    <row r="17" spans="1:7" ht="54">
      <c r="A17" s="79"/>
      <c r="B17" s="98" t="s">
        <v>898</v>
      </c>
      <c r="C17" s="90" t="s">
        <v>901</v>
      </c>
      <c r="D17" s="92"/>
    </row>
    <row r="18" spans="1:7">
      <c r="A18" s="79"/>
      <c r="B18" s="98" t="s">
        <v>900</v>
      </c>
      <c r="C18" s="90" t="s">
        <v>899</v>
      </c>
      <c r="D18" s="92"/>
    </row>
    <row r="19" spans="1:7">
      <c r="A19" s="79"/>
      <c r="D19" s="92"/>
    </row>
    <row r="20" spans="1:7" ht="17.75" customHeight="1">
      <c r="A20" s="79"/>
      <c r="B20" s="96" t="s">
        <v>890</v>
      </c>
      <c r="C20" s="94"/>
      <c r="D20" s="92"/>
    </row>
    <row r="21" spans="1:7" ht="31.5" customHeight="1">
      <c r="A21" s="79"/>
      <c r="B21" s="98" t="s">
        <v>902</v>
      </c>
      <c r="C21" s="90" t="s">
        <v>903</v>
      </c>
      <c r="D21" s="92"/>
    </row>
    <row r="22" spans="1:7" ht="31.5" customHeight="1">
      <c r="A22" s="79"/>
      <c r="B22" s="98" t="s">
        <v>904</v>
      </c>
      <c r="C22" s="90" t="s">
        <v>905</v>
      </c>
    </row>
    <row r="23" spans="1:7" ht="31.5" customHeight="1">
      <c r="A23" s="79"/>
      <c r="B23" s="98" t="s">
        <v>907</v>
      </c>
      <c r="C23" s="90" t="s">
        <v>906</v>
      </c>
    </row>
    <row r="24" spans="1:7" ht="72">
      <c r="A24" s="79"/>
      <c r="B24" s="98" t="s">
        <v>908</v>
      </c>
      <c r="C24" s="90" t="s">
        <v>911</v>
      </c>
      <c r="D24" s="95"/>
    </row>
    <row r="25" spans="1:7" ht="31.5" customHeight="1">
      <c r="A25" s="79"/>
      <c r="B25" s="98" t="s">
        <v>910</v>
      </c>
      <c r="C25" s="90" t="s">
        <v>909</v>
      </c>
      <c r="D25" s="95"/>
    </row>
    <row r="26" spans="1:7" ht="31.5" customHeight="1">
      <c r="A26" s="79"/>
      <c r="B26" s="76"/>
      <c r="D26" s="95"/>
    </row>
    <row r="27" spans="1:7" ht="31.5" customHeight="1">
      <c r="A27" s="79"/>
      <c r="D27" s="95"/>
    </row>
    <row r="28" spans="1:7" ht="41.25" customHeight="1">
      <c r="A28" s="79"/>
      <c r="C28" s="90" t="s">
        <v>957</v>
      </c>
      <c r="D28" s="95"/>
      <c r="E28" s="94"/>
      <c r="F28" s="94"/>
      <c r="G28" s="94"/>
    </row>
    <row r="29" spans="1:7">
      <c r="A29" s="79"/>
      <c r="D29" s="94"/>
    </row>
    <row r="30" spans="1:7">
      <c r="A30" s="79"/>
      <c r="D30" s="95"/>
    </row>
    <row r="31" spans="1:7">
      <c r="A31" s="79"/>
      <c r="D31" s="95"/>
    </row>
    <row r="32" spans="1:7">
      <c r="A32" s="79"/>
      <c r="D32" s="95"/>
    </row>
    <row r="33" spans="1:4">
      <c r="A33" s="79"/>
      <c r="D33" s="95"/>
    </row>
    <row r="34" spans="1:4">
      <c r="A34" s="79"/>
      <c r="D34" s="95"/>
    </row>
    <row r="35" spans="1:4">
      <c r="B35" s="97"/>
      <c r="C35" s="97"/>
      <c r="D35" s="95"/>
    </row>
    <row r="36" spans="1:4">
      <c r="B36" s="79"/>
      <c r="C36" s="79"/>
      <c r="D36" s="95"/>
    </row>
    <row r="37" spans="1:4">
      <c r="B37" s="79"/>
      <c r="C37" s="79"/>
      <c r="D37" s="95"/>
    </row>
    <row r="38" spans="1:4">
      <c r="B38" s="79"/>
      <c r="C38" s="79"/>
      <c r="D38" s="95"/>
    </row>
    <row r="39" spans="1:4">
      <c r="B39" s="79"/>
      <c r="C39" s="79"/>
      <c r="D39" s="95"/>
    </row>
    <row r="40" spans="1:4">
      <c r="B40" s="79"/>
      <c r="C40" s="79"/>
      <c r="D40" s="95"/>
    </row>
    <row r="41" spans="1:4">
      <c r="B41" s="79"/>
      <c r="C41" s="79"/>
    </row>
    <row r="42" spans="1:4">
      <c r="B42" s="79"/>
      <c r="C42" s="79"/>
    </row>
    <row r="43" spans="1:4">
      <c r="B43" s="79"/>
      <c r="C43" s="79"/>
    </row>
  </sheetData>
  <sheetProtection algorithmName="SHA-512" hashValue="FLaSvkwiN4RhzIT/3VgLfjcRHDqiBMaW85LB0voCnDrcSCAxSTWsM8Qccc1pntxBGr7SUq48FrQJp7Ur6V46SA==" saltValue="GS8D5OI+lBd0vJqqkaKGww==" spinCount="100000" sheet="1" selectLockedCells="1"/>
  <mergeCells count="3">
    <mergeCell ref="D4:E4"/>
    <mergeCell ref="B3:C9"/>
    <mergeCell ref="B11:C11"/>
  </mergeCells>
  <phoneticPr fontId="5" type="noConversion"/>
  <pageMargins left="0.25" right="0.25" top="0.75" bottom="0.75" header="0.3" footer="0.3"/>
  <pageSetup scale="5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L369"/>
  <sheetViews>
    <sheetView showGridLines="0" workbookViewId="0"/>
  </sheetViews>
  <sheetFormatPr baseColWidth="10" defaultColWidth="8.83203125" defaultRowHeight="16"/>
  <cols>
    <col min="1" max="1" width="1.6640625" style="99" customWidth="1"/>
    <col min="2" max="2" width="4.1640625" style="100" customWidth="1"/>
    <col min="3" max="3" width="8.83203125" style="101" hidden="1" customWidth="1"/>
    <col min="4" max="4" width="11.33203125" style="102" hidden="1" customWidth="1"/>
    <col min="5" max="5" width="12.6640625" style="103" customWidth="1"/>
    <col min="6" max="6" width="47.6640625" style="104" customWidth="1"/>
    <col min="7" max="7" width="133.6640625" style="106" customWidth="1"/>
    <col min="8" max="8" width="28.1640625" style="106" bestFit="1" customWidth="1"/>
    <col min="9" max="9" width="14" style="107" customWidth="1"/>
    <col min="10" max="10" width="37" style="108" customWidth="1"/>
    <col min="11" max="11" width="8.83203125" style="99"/>
    <col min="12" max="12" width="11.6640625" style="109" bestFit="1" customWidth="1"/>
    <col min="13" max="13" width="8.83203125" style="99"/>
    <col min="14" max="14" width="12" style="99" bestFit="1" customWidth="1"/>
    <col min="15" max="16384" width="8.83203125" style="99"/>
  </cols>
  <sheetData>
    <row r="2" spans="1:12" ht="24">
      <c r="G2" s="105" t="s">
        <v>55</v>
      </c>
    </row>
    <row r="3" spans="1:12" ht="18">
      <c r="A3" s="110" t="s">
        <v>762</v>
      </c>
    </row>
    <row r="4" spans="1:12">
      <c r="A4" s="111" t="s">
        <v>48</v>
      </c>
      <c r="C4" s="112"/>
      <c r="F4" s="113"/>
      <c r="L4" s="99"/>
    </row>
    <row r="5" spans="1:12">
      <c r="A5" s="111" t="s">
        <v>49</v>
      </c>
      <c r="C5" s="112"/>
      <c r="F5" s="114"/>
      <c r="L5" s="99"/>
    </row>
    <row r="6" spans="1:12">
      <c r="A6" s="111" t="s">
        <v>51</v>
      </c>
      <c r="C6" s="112"/>
      <c r="F6" s="113"/>
      <c r="L6" s="99"/>
    </row>
    <row r="7" spans="1:12">
      <c r="A7" s="111" t="s">
        <v>50</v>
      </c>
      <c r="C7" s="112"/>
      <c r="F7" s="115"/>
      <c r="L7" s="99"/>
    </row>
    <row r="8" spans="1:12">
      <c r="C8" s="112"/>
      <c r="L8" s="99"/>
    </row>
    <row r="9" spans="1:12" ht="18">
      <c r="E9" s="116" t="s">
        <v>5</v>
      </c>
      <c r="F9" s="117" t="s">
        <v>800</v>
      </c>
      <c r="L9" s="99"/>
    </row>
    <row r="10" spans="1:12" ht="18">
      <c r="E10" s="116" t="s">
        <v>6</v>
      </c>
      <c r="F10" s="117" t="s">
        <v>801</v>
      </c>
      <c r="L10" s="99"/>
    </row>
    <row r="11" spans="1:12">
      <c r="E11" s="116"/>
      <c r="F11" s="117"/>
      <c r="L11" s="99"/>
    </row>
    <row r="12" spans="1:12">
      <c r="B12" s="184" t="s">
        <v>775</v>
      </c>
      <c r="C12" s="185"/>
      <c r="D12" s="185"/>
      <c r="E12" s="185"/>
      <c r="F12" s="185"/>
      <c r="G12" s="171"/>
    </row>
    <row r="13" spans="1:12">
      <c r="E13" s="172" t="s">
        <v>798</v>
      </c>
    </row>
    <row r="14" spans="1:12">
      <c r="E14" s="173"/>
      <c r="F14" s="104" t="s">
        <v>777</v>
      </c>
    </row>
    <row r="15" spans="1:12" ht="15" customHeight="1">
      <c r="E15" s="173"/>
      <c r="F15" s="104" t="s">
        <v>778</v>
      </c>
    </row>
    <row r="16" spans="1:12">
      <c r="E16" s="174"/>
      <c r="F16" s="104" t="s">
        <v>779</v>
      </c>
    </row>
    <row r="17" spans="2:12">
      <c r="E17" s="174"/>
      <c r="F17" s="104" t="s">
        <v>780</v>
      </c>
    </row>
    <row r="18" spans="2:12">
      <c r="E18" s="175"/>
      <c r="F18" s="104" t="s">
        <v>788</v>
      </c>
    </row>
    <row r="19" spans="2:12">
      <c r="E19" s="173"/>
      <c r="F19" s="176" t="s">
        <v>913</v>
      </c>
    </row>
    <row r="20" spans="2:12">
      <c r="E20" s="175">
        <f>IFERROR(MIN(IF(ISBLANK(E19),0,E19),30-E18),"")</f>
        <v>0</v>
      </c>
      <c r="F20" s="104" t="s">
        <v>914</v>
      </c>
    </row>
    <row r="21" spans="2:12">
      <c r="E21" s="177">
        <f>MIN(SUM(E20,E18),30)</f>
        <v>0</v>
      </c>
      <c r="F21" s="178" t="s">
        <v>789</v>
      </c>
    </row>
    <row r="22" spans="2:12">
      <c r="F22" s="194" t="str">
        <f>IF(E19+E14&gt;0,"","All projects must have at least one health/wellness certified building.")</f>
        <v>All projects must have at least one health/wellness certified building.</v>
      </c>
      <c r="G22" s="194"/>
    </row>
    <row r="23" spans="2:12">
      <c r="E23" s="99"/>
      <c r="F23" s="99"/>
    </row>
    <row r="24" spans="2:12">
      <c r="E24" s="172" t="s">
        <v>790</v>
      </c>
    </row>
    <row r="25" spans="2:12">
      <c r="E25" s="173"/>
      <c r="F25" s="104" t="s">
        <v>791</v>
      </c>
    </row>
    <row r="26" spans="2:12">
      <c r="E26" s="177">
        <f>IF(ISBLANK(E25),0,MIN(E25,30-E21,10))</f>
        <v>0</v>
      </c>
      <c r="F26" s="178" t="s">
        <v>792</v>
      </c>
    </row>
    <row r="27" spans="2:12" s="118" customFormat="1" ht="46.5" customHeight="1">
      <c r="B27" s="119"/>
      <c r="C27" s="120" t="s">
        <v>43</v>
      </c>
      <c r="D27" s="121" t="s">
        <v>44</v>
      </c>
      <c r="E27" s="122" t="s">
        <v>45</v>
      </c>
      <c r="F27" s="123"/>
      <c r="G27" s="123"/>
      <c r="H27" s="124" t="s">
        <v>47</v>
      </c>
      <c r="I27" s="121" t="s">
        <v>46</v>
      </c>
      <c r="J27" s="125" t="s">
        <v>11</v>
      </c>
      <c r="K27" s="126"/>
    </row>
    <row r="28" spans="2:12" s="127" customFormat="1" ht="15" customHeight="1">
      <c r="B28" s="195" t="s">
        <v>0</v>
      </c>
      <c r="C28" s="128" t="s">
        <v>15</v>
      </c>
      <c r="D28" s="128">
        <v>1</v>
      </c>
      <c r="E28" s="129" t="str">
        <f>VLOOKUP(LEFT(F28,3),Admin!$A$4:$D$113,4,FALSE)</f>
        <v>P</v>
      </c>
      <c r="F28" s="130" t="s">
        <v>607</v>
      </c>
      <c r="G28" s="131"/>
      <c r="H28" s="132"/>
      <c r="I28" s="133" t="str">
        <f>IF(I29="no",IF(OR(I30="Yes",I31="Yes"),"--&gt;Yes","--&gt;No"),"--&gt;"&amp;I29)</f>
        <v>--&gt;</v>
      </c>
      <c r="J28" s="134"/>
      <c r="L28" s="135"/>
    </row>
    <row r="29" spans="2:12" s="127" customFormat="1" ht="153">
      <c r="B29" s="195"/>
      <c r="C29" s="136"/>
      <c r="D29" s="137">
        <v>1</v>
      </c>
      <c r="E29" s="138"/>
      <c r="F29" s="139" t="s">
        <v>58</v>
      </c>
      <c r="G29" s="140" t="s">
        <v>626</v>
      </c>
      <c r="H29" s="141" t="s">
        <v>40</v>
      </c>
      <c r="I29" s="142"/>
      <c r="J29" s="143"/>
      <c r="L29" s="135"/>
    </row>
    <row r="30" spans="2:12" s="127" customFormat="1" ht="170">
      <c r="B30" s="195"/>
      <c r="C30" s="136"/>
      <c r="D30" s="137">
        <v>1</v>
      </c>
      <c r="E30" s="138"/>
      <c r="F30" s="139" t="s">
        <v>59</v>
      </c>
      <c r="G30" s="140" t="s">
        <v>606</v>
      </c>
      <c r="H30" s="141" t="s">
        <v>60</v>
      </c>
      <c r="I30" s="144" t="str">
        <f ca="1">IF(AND(I29="no",I31="no",COUNTIF(I32:I59,"--&gt; Yes")+COUNTIF(I224,"--&gt; Yes")+COUNTIF(I282,"--&gt; Yes")+COUNTIF(I288,"--&gt; Yes")&gt;=3),"Yes","No")</f>
        <v>No</v>
      </c>
      <c r="J30" s="145" t="s">
        <v>852</v>
      </c>
      <c r="L30" s="135"/>
    </row>
    <row r="31" spans="2:12" s="127" customFormat="1" ht="170">
      <c r="B31" s="195"/>
      <c r="C31" s="136"/>
      <c r="D31" s="137">
        <v>1</v>
      </c>
      <c r="E31" s="138"/>
      <c r="F31" s="139" t="s">
        <v>61</v>
      </c>
      <c r="G31" s="140" t="s">
        <v>657</v>
      </c>
      <c r="H31" s="141" t="s">
        <v>60</v>
      </c>
      <c r="I31" s="144" t="str">
        <f ca="1">IF(AND(I29="no",COUNTIF(I32:I59,"--&gt; Yes")+COUNTIF(I224,"--&gt; Yes")+COUNTIF(I282,"--&gt; Yes")+COUNTIF(I288,"--&gt; Yes")&gt;=6),"Yes","No")</f>
        <v>No</v>
      </c>
      <c r="J31" s="145" t="s">
        <v>852</v>
      </c>
      <c r="L31" s="135"/>
    </row>
    <row r="32" spans="2:12" s="127" customFormat="1">
      <c r="B32" s="195"/>
      <c r="C32" s="128" t="s">
        <v>15</v>
      </c>
      <c r="D32" s="128">
        <f>D28+1</f>
        <v>2</v>
      </c>
      <c r="E32" s="129" t="str">
        <f>VLOOKUP(LEFT(F32,3),Admin!$A$4:$D$113,4,FALSE)</f>
        <v>O</v>
      </c>
      <c r="F32" s="130" t="s">
        <v>63</v>
      </c>
      <c r="G32" s="131"/>
      <c r="H32" s="132"/>
      <c r="I32" s="133" t="str">
        <f ca="1">IF(E32="n/a", "--&gt;N/A",
IF(COUNTIF(OFFSET(I32,1,0,COUNTIF(listReqCredits,D32)-1),"no")&gt;0,"--&gt; No",
IF(COUNTIF(OFFSET(I32,1,0,COUNTIF(listReqCredits,D32)-1),"n/a")=COUNTIF(listReqCredits,D32)-1,"--&gt; N/A",
IF(COUNTIF(OFFSET(I32,1,0,COUNTIF(listReqCredits,D32)-1),"yes")+COUNTIF(OFFSET(I32,1,0,COUNTIF(listReqCredits,D32)-1),"n/a")+COUNTIF(OFFSET(I32,1,0,COUNTIF(listReqCredits,D32)-1),"pending PV")=COUNTIF(listReqCredits,D32)-1,"--&gt; Yes",
IF(COUNTIF(OFFSET(I32,1,0,COUNTIF(listReqCredits,D32)-1),"yes")+COUNTIF(OFFSET(I32,1,0,COUNTIF(listReqCredits,D32)-1),"maybe")+COUNTIF(OFFSET(I32,1,0,COUNTIF(listReqCredits,D32)-1),"n/a")+COUNTIF(OFFSET(I32,1,0,COUNTIF(listReqCredits,D32)-1),"pending pv")=COUNTIF(listReqCredits,D32)-1,"--&gt; Maybe",
"")))))</f>
        <v/>
      </c>
      <c r="J32" s="134"/>
      <c r="K32" s="146"/>
      <c r="L32" s="135"/>
    </row>
    <row r="33" spans="2:12" s="127" customFormat="1" ht="119">
      <c r="B33" s="195"/>
      <c r="C33" s="136"/>
      <c r="D33" s="137">
        <v>2</v>
      </c>
      <c r="E33" s="138"/>
      <c r="F33" s="139" t="s">
        <v>62</v>
      </c>
      <c r="G33" s="140" t="s">
        <v>644</v>
      </c>
      <c r="H33" s="141" t="s">
        <v>41</v>
      </c>
      <c r="I33" s="142"/>
      <c r="J33" s="143"/>
      <c r="K33" s="146"/>
      <c r="L33" s="135"/>
    </row>
    <row r="34" spans="2:12" s="127" customFormat="1">
      <c r="B34" s="195"/>
      <c r="C34" s="128" t="s">
        <v>15</v>
      </c>
      <c r="D34" s="128">
        <v>3</v>
      </c>
      <c r="E34" s="129" t="str">
        <f>VLOOKUP(LEFT(F34,3),Admin!$A$4:$D$113,4,FALSE)</f>
        <v>O</v>
      </c>
      <c r="F34" s="130" t="s">
        <v>283</v>
      </c>
      <c r="G34" s="131"/>
      <c r="H34" s="132"/>
      <c r="I34" s="133" t="str">
        <f ca="1">IF(E34="n/a", "--&gt;N/A",
IF(COUNTIF(OFFSET(I34,1,0,COUNTIF(listReqCredits,D34)-1),"no")&gt;0,"--&gt; No",
IF(COUNTIF(OFFSET(I34,1,0,COUNTIF(listReqCredits,D34)-1),"n/a")=COUNTIF(listReqCredits,D34)-1,"--&gt; N/A",
IF(COUNTIF(OFFSET(I34,1,0,COUNTIF(listReqCredits,D34)-1),"yes")+COUNTIF(OFFSET(I34,1,0,COUNTIF(listReqCredits,D34)-1),"n/a")+COUNTIF(OFFSET(I34,1,0,COUNTIF(listReqCredits,D34)-1),"pending PV")=COUNTIF(listReqCredits,D34)-1,"--&gt; Yes",
IF(COUNTIF(OFFSET(I34,1,0,COUNTIF(listReqCredits,D34)-1),"yes")+COUNTIF(OFFSET(I34,1,0,COUNTIF(listReqCredits,D34)-1),"maybe")+COUNTIF(OFFSET(I34,1,0,COUNTIF(listReqCredits,D34)-1),"n/a")+COUNTIF(OFFSET(I34,1,0,COUNTIF(listReqCredits,D34)-1),"pending pv")=COUNTIF(listReqCredits,D34)-1,"--&gt; Maybe",
"")))))</f>
        <v/>
      </c>
      <c r="J34" s="134"/>
      <c r="L34" s="135"/>
    </row>
    <row r="35" spans="2:12" s="127" customFormat="1" ht="119">
      <c r="B35" s="195"/>
      <c r="C35" s="136"/>
      <c r="D35" s="137">
        <v>3</v>
      </c>
      <c r="E35" s="138"/>
      <c r="F35" s="139" t="s">
        <v>374</v>
      </c>
      <c r="G35" s="140" t="s">
        <v>375</v>
      </c>
      <c r="H35" s="140" t="s">
        <v>41</v>
      </c>
      <c r="I35" s="142"/>
      <c r="J35" s="143"/>
      <c r="L35" s="135"/>
    </row>
    <row r="36" spans="2:12" s="127" customFormat="1" ht="85">
      <c r="B36" s="195"/>
      <c r="C36" s="136"/>
      <c r="D36" s="137">
        <v>3</v>
      </c>
      <c r="E36" s="138"/>
      <c r="F36" s="139" t="s">
        <v>376</v>
      </c>
      <c r="G36" s="140" t="s">
        <v>645</v>
      </c>
      <c r="H36" s="140" t="s">
        <v>41</v>
      </c>
      <c r="I36" s="142"/>
      <c r="J36" s="143"/>
      <c r="L36" s="135"/>
    </row>
    <row r="37" spans="2:12" s="127" customFormat="1">
      <c r="B37" s="195"/>
      <c r="C37" s="128" t="s">
        <v>15</v>
      </c>
      <c r="D37" s="128">
        <v>4</v>
      </c>
      <c r="E37" s="129" t="str">
        <f>VLOOKUP(LEFT(F37,3),Admin!$A$4:$D$113,4,FALSE)</f>
        <v>O</v>
      </c>
      <c r="F37" s="130" t="s">
        <v>284</v>
      </c>
      <c r="G37" s="131"/>
      <c r="H37" s="132"/>
      <c r="I37" s="133" t="str">
        <f ca="1">IF(E37="n/a", "--&gt;N/A",
IF(COUNTIF(OFFSET(I37,1,0,COUNTIF(listReqCredits,D37)-1),"no")&gt;0,"--&gt; No",
IF(COUNTIF(OFFSET(I37,1,0,COUNTIF(listReqCredits,D37)-1),"n/a")=COUNTIF(listReqCredits,D37)-1,"--&gt; N/A",
IF(COUNTIF(OFFSET(I37,1,0,COUNTIF(listReqCredits,D37)-1),"yes")+COUNTIF(OFFSET(I37,1,0,COUNTIF(listReqCredits,D37)-1),"n/a")+COUNTIF(OFFSET(I37,1,0,COUNTIF(listReqCredits,D37)-1),"pending PV")=COUNTIF(listReqCredits,D37)-1,"--&gt; Yes",
IF(COUNTIF(OFFSET(I37,1,0,COUNTIF(listReqCredits,D37)-1),"yes")+COUNTIF(OFFSET(I37,1,0,COUNTIF(listReqCredits,D37)-1),"maybe")+COUNTIF(OFFSET(I37,1,0,COUNTIF(listReqCredits,D37)-1),"n/a")+COUNTIF(OFFSET(I37,1,0,COUNTIF(listReqCredits,D37)-1),"pending pv")=COUNTIF(listReqCredits,D37)-1,"--&gt; Maybe",
"")))))</f>
        <v/>
      </c>
      <c r="J37" s="134"/>
      <c r="L37" s="135"/>
    </row>
    <row r="38" spans="2:12" s="127" customFormat="1" ht="85">
      <c r="B38" s="195"/>
      <c r="C38" s="136"/>
      <c r="D38" s="137">
        <v>4</v>
      </c>
      <c r="E38" s="138"/>
      <c r="F38" s="139" t="s">
        <v>377</v>
      </c>
      <c r="G38" s="140" t="s">
        <v>646</v>
      </c>
      <c r="H38" s="140" t="s">
        <v>40</v>
      </c>
      <c r="I38" s="142"/>
      <c r="J38" s="143"/>
      <c r="L38" s="135"/>
    </row>
    <row r="39" spans="2:12" s="127" customFormat="1" ht="68">
      <c r="B39" s="195"/>
      <c r="C39" s="136"/>
      <c r="D39" s="137">
        <v>4</v>
      </c>
      <c r="E39" s="138"/>
      <c r="F39" s="139" t="s">
        <v>378</v>
      </c>
      <c r="G39" s="140" t="s">
        <v>608</v>
      </c>
      <c r="H39" s="140" t="s">
        <v>40</v>
      </c>
      <c r="I39" s="142"/>
      <c r="J39" s="143"/>
      <c r="L39" s="135"/>
    </row>
    <row r="40" spans="2:12" s="127" customFormat="1">
      <c r="B40" s="195"/>
      <c r="C40" s="128" t="s">
        <v>15</v>
      </c>
      <c r="D40" s="128">
        <v>5</v>
      </c>
      <c r="E40" s="129" t="str">
        <f>VLOOKUP(LEFT(F40,3),Admin!$A$4:$D$113,4,FALSE)</f>
        <v>O</v>
      </c>
      <c r="F40" s="130" t="s">
        <v>280</v>
      </c>
      <c r="G40" s="131"/>
      <c r="H40" s="132"/>
      <c r="I40" s="133" t="str">
        <f ca="1">IF(E40="n/a", "--&gt;N/A",
IF(COUNTIF(OFFSET(I40,1,0,COUNTIF(listReqCredits,D40)-1),"no")&gt;0,"--&gt; No",
IF(COUNTIF(OFFSET(I40,1,0,COUNTIF(listReqCredits,D40)-1),"n/a")=COUNTIF(listReqCredits,D40)-1,"--&gt; N/A",
IF(COUNTIF(OFFSET(I40,1,0,COUNTIF(listReqCredits,D40)-1),"yes")+COUNTIF(OFFSET(I40,1,0,COUNTIF(listReqCredits,D40)-1),"n/a")+COUNTIF(OFFSET(I40,1,0,COUNTIF(listReqCredits,D40)-1),"pending PV")=COUNTIF(listReqCredits,D40)-1,"--&gt; Yes",
IF(COUNTIF(OFFSET(I40,1,0,COUNTIF(listReqCredits,D40)-1),"yes")+COUNTIF(OFFSET(I40,1,0,COUNTIF(listReqCredits,D40)-1),"maybe")+COUNTIF(OFFSET(I40,1,0,COUNTIF(listReqCredits,D40)-1),"n/a")+COUNTIF(OFFSET(I40,1,0,COUNTIF(listReqCredits,D40)-1),"pending pv")=COUNTIF(listReqCredits,D40)-1,"--&gt; Maybe",
"")))))</f>
        <v/>
      </c>
      <c r="J40" s="134"/>
      <c r="L40" s="135"/>
    </row>
    <row r="41" spans="2:12" s="127" customFormat="1" ht="85">
      <c r="B41" s="195"/>
      <c r="C41" s="136"/>
      <c r="D41" s="137">
        <v>5</v>
      </c>
      <c r="E41" s="138"/>
      <c r="F41" s="139" t="s">
        <v>379</v>
      </c>
      <c r="G41" s="140" t="s">
        <v>609</v>
      </c>
      <c r="H41" s="141" t="s">
        <v>40</v>
      </c>
      <c r="I41" s="142"/>
      <c r="J41" s="143"/>
      <c r="L41" s="135"/>
    </row>
    <row r="42" spans="2:12" s="127" customFormat="1" ht="68">
      <c r="B42" s="195"/>
      <c r="C42" s="136"/>
      <c r="D42" s="137">
        <v>5</v>
      </c>
      <c r="E42" s="138"/>
      <c r="F42" s="139" t="s">
        <v>380</v>
      </c>
      <c r="G42" s="140" t="s">
        <v>610</v>
      </c>
      <c r="H42" s="141" t="s">
        <v>40</v>
      </c>
      <c r="I42" s="142"/>
      <c r="J42" s="143"/>
      <c r="L42" s="135"/>
    </row>
    <row r="43" spans="2:12" s="127" customFormat="1">
      <c r="B43" s="195"/>
      <c r="C43" s="128" t="s">
        <v>15</v>
      </c>
      <c r="D43" s="128">
        <v>6</v>
      </c>
      <c r="E43" s="129" t="str">
        <f>VLOOKUP(LEFT(F43,3),Admin!$A$4:$D$113,4,FALSE)</f>
        <v>O</v>
      </c>
      <c r="F43" s="130" t="s">
        <v>285</v>
      </c>
      <c r="G43" s="131"/>
      <c r="H43" s="132"/>
      <c r="I43" s="133" t="str">
        <f ca="1">IF(E43="n/a", "--&gt;N/A",
IF(COUNTIF(OFFSET(I43,1,0,COUNTIF(listReqCredits,D43)-1),"no")&gt;0,"--&gt; No",
IF(COUNTIF(OFFSET(I43,1,0,COUNTIF(listReqCredits,D43)-1),"n/a")=COUNTIF(listReqCredits,D43)-1,"--&gt; N/A",
IF(COUNTIF(OFFSET(I43,1,0,COUNTIF(listReqCredits,D43)-1),"yes")+COUNTIF(OFFSET(I43,1,0,COUNTIF(listReqCredits,D43)-1),"n/a")+COUNTIF(OFFSET(I43,1,0,COUNTIF(listReqCredits,D43)-1),"pending PV")=COUNTIF(listReqCredits,D43)-1,"--&gt; Yes",
IF(COUNTIF(OFFSET(I43,1,0,COUNTIF(listReqCredits,D43)-1),"yes")+COUNTIF(OFFSET(I43,1,0,COUNTIF(listReqCredits,D43)-1),"maybe")+COUNTIF(OFFSET(I43,1,0,COUNTIF(listReqCredits,D43)-1),"n/a")+COUNTIF(OFFSET(I43,1,0,COUNTIF(listReqCredits,D43)-1),"pending pv")=COUNTIF(listReqCredits,D43)-1,"--&gt; Maybe",
"")))))</f>
        <v/>
      </c>
      <c r="J43" s="134"/>
      <c r="L43" s="135"/>
    </row>
    <row r="44" spans="2:12" s="127" customFormat="1" ht="85">
      <c r="B44" s="195"/>
      <c r="C44" s="136"/>
      <c r="D44" s="137">
        <v>6</v>
      </c>
      <c r="E44" s="138"/>
      <c r="F44" s="139" t="s">
        <v>377</v>
      </c>
      <c r="G44" s="140" t="s">
        <v>611</v>
      </c>
      <c r="H44" s="141" t="s">
        <v>40</v>
      </c>
      <c r="I44" s="142"/>
      <c r="J44" s="143"/>
      <c r="L44" s="135"/>
    </row>
    <row r="45" spans="2:12" s="127" customFormat="1" ht="102">
      <c r="B45" s="195"/>
      <c r="C45" s="136"/>
      <c r="D45" s="137">
        <v>6</v>
      </c>
      <c r="E45" s="138"/>
      <c r="F45" s="139" t="s">
        <v>378</v>
      </c>
      <c r="G45" s="140" t="s">
        <v>612</v>
      </c>
      <c r="H45" s="141" t="s">
        <v>40</v>
      </c>
      <c r="I45" s="142"/>
      <c r="J45" s="143"/>
      <c r="L45" s="135"/>
    </row>
    <row r="46" spans="2:12" s="127" customFormat="1">
      <c r="B46" s="195"/>
      <c r="C46" s="128" t="s">
        <v>15</v>
      </c>
      <c r="D46" s="128">
        <v>7</v>
      </c>
      <c r="E46" s="129" t="str">
        <f>VLOOKUP(LEFT(F46,3),Admin!$A$4:$D$113,4,FALSE)</f>
        <v>O</v>
      </c>
      <c r="F46" s="130" t="s">
        <v>281</v>
      </c>
      <c r="G46" s="131"/>
      <c r="H46" s="132"/>
      <c r="I46" s="133" t="str">
        <f ca="1">IF(E46="n/a", "--&gt;N/A",
IF(COUNTIF(OFFSET(I46,1,0,COUNTIF(listReqCredits,D46)-1),"no")&gt;0,"--&gt; No",
IF(COUNTIF(OFFSET(I46,1,0,COUNTIF(listReqCredits,D46)-1),"n/a")=COUNTIF(listReqCredits,D46)-1,"--&gt; N/A",
IF(COUNTIF(OFFSET(I46,1,0,COUNTIF(listReqCredits,D46)-1),"yes")+COUNTIF(OFFSET(I46,1,0,COUNTIF(listReqCredits,D46)-1),"n/a")+COUNTIF(OFFSET(I46,1,0,COUNTIF(listReqCredits,D46)-1),"pending PV")=COUNTIF(listReqCredits,D46)-1,"--&gt; Yes",
IF(COUNTIF(OFFSET(I46,1,0,COUNTIF(listReqCredits,D46)-1),"yes")+COUNTIF(OFFSET(I46,1,0,COUNTIF(listReqCredits,D46)-1),"maybe")+COUNTIF(OFFSET(I46,1,0,COUNTIF(listReqCredits,D46)-1),"n/a")+COUNTIF(OFFSET(I46,1,0,COUNTIF(listReqCredits,D46)-1),"pending pv")=COUNTIF(listReqCredits,D46)-1,"--&gt; Maybe",
"")))))</f>
        <v/>
      </c>
      <c r="J46" s="134"/>
      <c r="L46" s="135"/>
    </row>
    <row r="47" spans="2:12" s="127" customFormat="1" ht="85">
      <c r="B47" s="195"/>
      <c r="C47" s="136"/>
      <c r="D47" s="137">
        <v>7</v>
      </c>
      <c r="E47" s="138"/>
      <c r="F47" s="139" t="s">
        <v>377</v>
      </c>
      <c r="G47" s="140" t="s">
        <v>613</v>
      </c>
      <c r="H47" s="141" t="s">
        <v>40</v>
      </c>
      <c r="I47" s="142"/>
      <c r="J47" s="143"/>
      <c r="L47" s="135"/>
    </row>
    <row r="48" spans="2:12" s="127" customFormat="1" ht="102">
      <c r="B48" s="195"/>
      <c r="C48" s="136"/>
      <c r="D48" s="137">
        <v>7</v>
      </c>
      <c r="E48" s="138"/>
      <c r="F48" s="139" t="s">
        <v>380</v>
      </c>
      <c r="G48" s="140" t="s">
        <v>614</v>
      </c>
      <c r="H48" s="141" t="s">
        <v>40</v>
      </c>
      <c r="I48" s="142"/>
      <c r="J48" s="143"/>
      <c r="L48" s="135"/>
    </row>
    <row r="49" spans="2:12" s="127" customFormat="1">
      <c r="B49" s="195"/>
      <c r="C49" s="128" t="s">
        <v>15</v>
      </c>
      <c r="D49" s="128">
        <v>8</v>
      </c>
      <c r="E49" s="129" t="str">
        <f>VLOOKUP(LEFT(F49,3),Admin!$A$4:$D$113,4,FALSE)</f>
        <v>O</v>
      </c>
      <c r="F49" s="130" t="s">
        <v>286</v>
      </c>
      <c r="G49" s="131"/>
      <c r="H49" s="132"/>
      <c r="I49" s="133" t="str">
        <f ca="1">IF(E49="n/a", "--&gt;N/A",
IF(COUNTIF(OFFSET(I49,1,0,COUNTIF(listReqCredits,D49)-1),"no")&gt;0,"--&gt; No",
IF(COUNTIF(OFFSET(I49,1,0,COUNTIF(listReqCredits,D49)-1),"n/a")=COUNTIF(listReqCredits,D49)-1,"--&gt; N/A",
IF(COUNTIF(OFFSET(I49,1,0,COUNTIF(listReqCredits,D49)-1),"yes")+COUNTIF(OFFSET(I49,1,0,COUNTIF(listReqCredits,D49)-1),"n/a")+COUNTIF(OFFSET(I49,1,0,COUNTIF(listReqCredits,D49)-1),"pending PV")=COUNTIF(listReqCredits,D49)-1,"--&gt; Yes",
IF(COUNTIF(OFFSET(I49,1,0,COUNTIF(listReqCredits,D49)-1),"yes")+COUNTIF(OFFSET(I49,1,0,COUNTIF(listReqCredits,D49)-1),"maybe")+COUNTIF(OFFSET(I49,1,0,COUNTIF(listReqCredits,D49)-1),"n/a")+COUNTIF(OFFSET(I49,1,0,COUNTIF(listReqCredits,D49)-1),"pending pv")=COUNTIF(listReqCredits,D49)-1,"--&gt; Maybe",
"")))))</f>
        <v/>
      </c>
      <c r="J49" s="134"/>
      <c r="L49" s="135"/>
    </row>
    <row r="50" spans="2:12" s="127" customFormat="1" ht="136">
      <c r="B50" s="195"/>
      <c r="C50" s="136"/>
      <c r="D50" s="137">
        <v>8</v>
      </c>
      <c r="E50" s="138"/>
      <c r="F50" s="139" t="s">
        <v>381</v>
      </c>
      <c r="G50" s="140" t="s">
        <v>709</v>
      </c>
      <c r="H50" s="141" t="s">
        <v>938</v>
      </c>
      <c r="I50" s="142"/>
      <c r="J50" s="143"/>
      <c r="L50" s="135"/>
    </row>
    <row r="51" spans="2:12" s="127" customFormat="1">
      <c r="B51" s="195"/>
      <c r="C51" s="128" t="s">
        <v>15</v>
      </c>
      <c r="D51" s="128">
        <v>9</v>
      </c>
      <c r="E51" s="129" t="str">
        <f>VLOOKUP(LEFT(F51,3),Admin!$A$4:$D$113,4,FALSE)</f>
        <v>O</v>
      </c>
      <c r="F51" s="130" t="s">
        <v>287</v>
      </c>
      <c r="G51" s="131"/>
      <c r="H51" s="132"/>
      <c r="I51" s="133" t="str">
        <f ca="1">IF(E51="n/a", "--&gt;N/A",
IF(COUNTIF(OFFSET(I51,1,0,COUNTIF(listReqCredits,D51)-1),"no")&gt;0,"--&gt; No",
IF(COUNTIF(OFFSET(I51,1,0,COUNTIF(listReqCredits,D51)-1),"n/a")=COUNTIF(listReqCredits,D51)-1,"--&gt; N/A",
IF(COUNTIF(OFFSET(I51,1,0,COUNTIF(listReqCredits,D51)-1),"yes")+COUNTIF(OFFSET(I51,1,0,COUNTIF(listReqCredits,D51)-1),"n/a")+COUNTIF(OFFSET(I51,1,0,COUNTIF(listReqCredits,D51)-1),"pending PV")=COUNTIF(listReqCredits,D51)-1,"--&gt; Yes",
IF(COUNTIF(OFFSET(I51,1,0,COUNTIF(listReqCredits,D51)-1),"yes")+COUNTIF(OFFSET(I51,1,0,COUNTIF(listReqCredits,D51)-1),"maybe")+COUNTIF(OFFSET(I51,1,0,COUNTIF(listReqCredits,D51)-1),"n/a")+COUNTIF(OFFSET(I51,1,0,COUNTIF(listReqCredits,D51)-1),"pending pv")=COUNTIF(listReqCredits,D51)-1,"--&gt; Maybe",
"")))))</f>
        <v/>
      </c>
      <c r="J51" s="134"/>
      <c r="L51" s="135"/>
    </row>
    <row r="52" spans="2:12" s="127" customFormat="1" ht="187">
      <c r="B52" s="195"/>
      <c r="C52" s="136"/>
      <c r="D52" s="137">
        <v>9</v>
      </c>
      <c r="E52" s="138"/>
      <c r="F52" s="139" t="s">
        <v>883</v>
      </c>
      <c r="G52" s="179" t="s">
        <v>916</v>
      </c>
      <c r="H52" s="141" t="s">
        <v>939</v>
      </c>
      <c r="I52" s="142"/>
      <c r="J52" s="143"/>
      <c r="L52" s="135"/>
    </row>
    <row r="53" spans="2:12" s="127" customFormat="1" ht="102">
      <c r="B53" s="195"/>
      <c r="C53" s="136"/>
      <c r="D53" s="137">
        <v>9</v>
      </c>
      <c r="E53" s="138"/>
      <c r="F53" s="139" t="s">
        <v>382</v>
      </c>
      <c r="G53" s="140" t="s">
        <v>710</v>
      </c>
      <c r="H53" s="141" t="s">
        <v>41</v>
      </c>
      <c r="I53" s="142"/>
      <c r="J53" s="143"/>
      <c r="L53" s="135"/>
    </row>
    <row r="54" spans="2:12" s="127" customFormat="1">
      <c r="B54" s="195"/>
      <c r="C54" s="128" t="s">
        <v>15</v>
      </c>
      <c r="D54" s="128">
        <v>10</v>
      </c>
      <c r="E54" s="129" t="str">
        <f>VLOOKUP(LEFT(F54,3),Admin!$A$4:$D$113,4,FALSE)</f>
        <v>O</v>
      </c>
      <c r="F54" s="130" t="s">
        <v>282</v>
      </c>
      <c r="G54" s="131"/>
      <c r="H54" s="132"/>
      <c r="I54" s="133" t="str">
        <f ca="1">IF(E54="n/a", "--&gt;N/A",
IF(COUNTIF(OFFSET(I54,1,0,COUNTIF(listReqCredits,D54)-1),"no")&gt;0,"--&gt; No",
IF(COUNTIF(OFFSET(I54,1,0,COUNTIF(listReqCredits,D54)-1),"n/a")=COUNTIF(listReqCredits,D54)-1,"--&gt; N/A",
IF(COUNTIF(OFFSET(I54,1,0,COUNTIF(listReqCredits,D54)-1),"yes")+COUNTIF(OFFSET(I54,1,0,COUNTIF(listReqCredits,D54)-1),"n/a")+COUNTIF(OFFSET(I54,1,0,COUNTIF(listReqCredits,D54)-1),"pending PV")=COUNTIF(listReqCredits,D54)-1,"--&gt; Yes",
IF(COUNTIF(OFFSET(I54,1,0,COUNTIF(listReqCredits,D54)-1),"yes")+COUNTIF(OFFSET(I54,1,0,COUNTIF(listReqCredits,D54)-1),"maybe")+COUNTIF(OFFSET(I54,1,0,COUNTIF(listReqCredits,D54)-1),"n/a")+COUNTIF(OFFSET(I54,1,0,COUNTIF(listReqCredits,D54)-1),"pending pv")=COUNTIF(listReqCredits,D54)-1,"--&gt; Maybe",
"")))))</f>
        <v/>
      </c>
      <c r="J54" s="134"/>
      <c r="K54" s="146"/>
      <c r="L54" s="135"/>
    </row>
    <row r="55" spans="2:12" s="127" customFormat="1" ht="153">
      <c r="B55" s="195"/>
      <c r="C55" s="136"/>
      <c r="D55" s="137">
        <v>10</v>
      </c>
      <c r="E55" s="138"/>
      <c r="F55" s="147" t="s">
        <v>383</v>
      </c>
      <c r="G55" s="140" t="s">
        <v>816</v>
      </c>
      <c r="H55" s="141" t="s">
        <v>384</v>
      </c>
      <c r="I55" s="142"/>
      <c r="J55" s="143"/>
      <c r="K55" s="146"/>
      <c r="L55" s="135"/>
    </row>
    <row r="56" spans="2:12" s="127" customFormat="1" ht="85">
      <c r="B56" s="195"/>
      <c r="C56" s="136"/>
      <c r="D56" s="137">
        <v>10</v>
      </c>
      <c r="E56" s="138"/>
      <c r="F56" s="139" t="s">
        <v>594</v>
      </c>
      <c r="G56" s="140" t="s">
        <v>615</v>
      </c>
      <c r="H56" s="141" t="s">
        <v>385</v>
      </c>
      <c r="I56" s="142"/>
      <c r="J56" s="143"/>
      <c r="K56" s="146"/>
      <c r="L56" s="135"/>
    </row>
    <row r="57" spans="2:12" s="127" customFormat="1">
      <c r="B57" s="195"/>
      <c r="C57" s="128" t="s">
        <v>15</v>
      </c>
      <c r="D57" s="128">
        <v>11</v>
      </c>
      <c r="E57" s="129" t="str">
        <f>VLOOKUP(LEFT(F57,3),Admin!$A$4:$D$113,4,FALSE)</f>
        <v>O</v>
      </c>
      <c r="F57" s="130" t="s">
        <v>288</v>
      </c>
      <c r="G57" s="131"/>
      <c r="H57" s="132"/>
      <c r="I57" s="133" t="str">
        <f ca="1">IF(E57="n/a", "--&gt;N/A",
IF(COUNTIF(OFFSET(I57,1,0,COUNTIF(listReqCredits,D57)-1),"no")&gt;0,"--&gt; No",
IF(COUNTIF(OFFSET(I57,1,0,COUNTIF(listReqCredits,D57)-1),"n/a")=COUNTIF(listReqCredits,D57)-1,"--&gt; N/A",
IF(COUNTIF(OFFSET(I57,1,0,COUNTIF(listReqCredits,D57)-1),"yes")+COUNTIF(OFFSET(I57,1,0,COUNTIF(listReqCredits,D57)-1),"n/a")+COUNTIF(OFFSET(I57,1,0,COUNTIF(listReqCredits,D57)-1),"pending PV")=COUNTIF(listReqCredits,D57)-1,"--&gt; Yes",
IF(COUNTIF(OFFSET(I57,1,0,COUNTIF(listReqCredits,D57)-1),"yes")+COUNTIF(OFFSET(I57,1,0,COUNTIF(listReqCredits,D57)-1),"maybe")+COUNTIF(OFFSET(I57,1,0,COUNTIF(listReqCredits,D57)-1),"n/a")+COUNTIF(OFFSET(I57,1,0,COUNTIF(listReqCredits,D57)-1),"pending pv")=COUNTIF(listReqCredits,D57)-1,"--&gt; Maybe",
"")))))</f>
        <v/>
      </c>
      <c r="J57" s="134"/>
      <c r="L57" s="135"/>
    </row>
    <row r="58" spans="2:12" s="127" customFormat="1" ht="102">
      <c r="B58" s="195"/>
      <c r="C58" s="136"/>
      <c r="D58" s="137">
        <v>11</v>
      </c>
      <c r="E58" s="138"/>
      <c r="F58" s="139" t="s">
        <v>884</v>
      </c>
      <c r="G58" s="179" t="s">
        <v>929</v>
      </c>
      <c r="H58" s="141" t="s">
        <v>41</v>
      </c>
      <c r="I58" s="142"/>
      <c r="J58" s="143"/>
      <c r="L58" s="135"/>
    </row>
    <row r="59" spans="2:12" s="127" customFormat="1" ht="85">
      <c r="B59" s="195"/>
      <c r="C59" s="136"/>
      <c r="D59" s="137">
        <v>11</v>
      </c>
      <c r="E59" s="138"/>
      <c r="F59" s="139" t="s">
        <v>885</v>
      </c>
      <c r="G59" s="179" t="s">
        <v>817</v>
      </c>
      <c r="H59" s="141" t="s">
        <v>41</v>
      </c>
      <c r="I59" s="142"/>
      <c r="J59" s="143"/>
      <c r="L59" s="135"/>
    </row>
    <row r="60" spans="2:12" s="150" customFormat="1" ht="15" customHeight="1">
      <c r="B60" s="196" t="s">
        <v>1</v>
      </c>
      <c r="C60" s="148" t="s">
        <v>16</v>
      </c>
      <c r="D60" s="149">
        <v>12</v>
      </c>
      <c r="E60" s="129" t="str">
        <f>VLOOKUP(LEFT(F60,3),Admin!$A$4:$D$113,4,FALSE)</f>
        <v>P</v>
      </c>
      <c r="F60" s="130" t="s">
        <v>289</v>
      </c>
      <c r="G60" s="131"/>
      <c r="H60" s="132"/>
      <c r="I60" s="133" t="str">
        <f ca="1">IF(E60="n/a", "--&gt;N/A",
IF(COUNTIF(OFFSET(I60,1,0,COUNTIF(listReqCredits,D60)-1),"no")&gt;0,"--&gt; No",
IF(COUNTIF(OFFSET(I60,1,0,COUNTIF(listReqCredits,D60)-1),"n/a")=COUNTIF(listReqCredits,D60)-1,"--&gt; N/A",
IF(COUNTIF(OFFSET(I60,1,0,COUNTIF(listReqCredits,D60)-1),"yes")+COUNTIF(OFFSET(I60,1,0,COUNTIF(listReqCredits,D60)-1),"n/a")+COUNTIF(OFFSET(I60,1,0,COUNTIF(listReqCredits,D60)-1),"pending PV")=COUNTIF(listReqCredits,D60)-1,"--&gt; Yes",
IF(COUNTIF(OFFSET(I60,1,0,COUNTIF(listReqCredits,D60)-1),"yes")+COUNTIF(OFFSET(I60,1,0,COUNTIF(listReqCredits,D60)-1),"maybe")+COUNTIF(OFFSET(I60,1,0,COUNTIF(listReqCredits,D60)-1),"n/a")+COUNTIF(OFFSET(I60,1,0,COUNTIF(listReqCredits,D60)-1),"pending pv")=COUNTIF(listReqCredits,D60)-1,"--&gt; Maybe",
"")))))</f>
        <v/>
      </c>
      <c r="J60" s="134"/>
      <c r="K60" s="127"/>
      <c r="L60" s="135"/>
    </row>
    <row r="61" spans="2:12" s="150" customFormat="1" ht="68">
      <c r="B61" s="196"/>
      <c r="C61" s="136"/>
      <c r="D61" s="137">
        <v>12</v>
      </c>
      <c r="E61" s="138"/>
      <c r="F61" s="139" t="s">
        <v>386</v>
      </c>
      <c r="G61" s="179" t="s">
        <v>961</v>
      </c>
      <c r="H61" s="141" t="s">
        <v>40</v>
      </c>
      <c r="I61" s="142"/>
      <c r="J61" s="143"/>
      <c r="K61" s="127"/>
      <c r="L61" s="135"/>
    </row>
    <row r="62" spans="2:12" s="150" customFormat="1" ht="68">
      <c r="B62" s="196"/>
      <c r="C62" s="136"/>
      <c r="D62" s="137">
        <v>12</v>
      </c>
      <c r="E62" s="138"/>
      <c r="F62" s="139" t="s">
        <v>387</v>
      </c>
      <c r="G62" s="179" t="s">
        <v>962</v>
      </c>
      <c r="H62" s="141" t="s">
        <v>40</v>
      </c>
      <c r="I62" s="142"/>
      <c r="J62" s="143"/>
      <c r="K62" s="127"/>
      <c r="L62" s="135"/>
    </row>
    <row r="63" spans="2:12" s="150" customFormat="1" ht="153">
      <c r="B63" s="196"/>
      <c r="C63" s="136"/>
      <c r="D63" s="137">
        <v>12</v>
      </c>
      <c r="E63" s="138"/>
      <c r="F63" s="139" t="s">
        <v>388</v>
      </c>
      <c r="G63" s="179" t="s">
        <v>963</v>
      </c>
      <c r="H63" s="141" t="s">
        <v>40</v>
      </c>
      <c r="I63" s="142"/>
      <c r="J63" s="143"/>
      <c r="K63" s="127"/>
      <c r="L63" s="135"/>
    </row>
    <row r="64" spans="2:12" s="150" customFormat="1" ht="187">
      <c r="B64" s="196"/>
      <c r="C64" s="136"/>
      <c r="D64" s="137">
        <v>12</v>
      </c>
      <c r="E64" s="138"/>
      <c r="F64" s="139" t="s">
        <v>389</v>
      </c>
      <c r="G64" s="179" t="s">
        <v>964</v>
      </c>
      <c r="H64" s="141" t="s">
        <v>40</v>
      </c>
      <c r="I64" s="142"/>
      <c r="J64" s="143"/>
      <c r="K64" s="127"/>
      <c r="L64" s="135"/>
    </row>
    <row r="65" spans="2:12" s="150" customFormat="1" ht="119">
      <c r="B65" s="196"/>
      <c r="C65" s="136"/>
      <c r="D65" s="137">
        <v>12</v>
      </c>
      <c r="E65" s="138"/>
      <c r="F65" s="139" t="s">
        <v>390</v>
      </c>
      <c r="G65" s="179" t="s">
        <v>965</v>
      </c>
      <c r="H65" s="141" t="s">
        <v>40</v>
      </c>
      <c r="I65" s="142"/>
      <c r="J65" s="143"/>
      <c r="K65" s="127"/>
      <c r="L65" s="135"/>
    </row>
    <row r="66" spans="2:12" s="150" customFormat="1" ht="68">
      <c r="B66" s="196"/>
      <c r="C66" s="136"/>
      <c r="D66" s="137">
        <v>12</v>
      </c>
      <c r="E66" s="138"/>
      <c r="F66" s="139" t="s">
        <v>391</v>
      </c>
      <c r="G66" s="179" t="s">
        <v>966</v>
      </c>
      <c r="H66" s="141" t="s">
        <v>40</v>
      </c>
      <c r="I66" s="142"/>
      <c r="J66" s="143"/>
      <c r="K66" s="127"/>
      <c r="L66" s="135"/>
    </row>
    <row r="67" spans="2:12" s="150" customFormat="1">
      <c r="B67" s="196"/>
      <c r="C67" s="148" t="s">
        <v>16</v>
      </c>
      <c r="D67" s="149">
        <v>13</v>
      </c>
      <c r="E67" s="129" t="str">
        <f>VLOOKUP(LEFT(F67,3),Admin!$A$4:$D$113,4,FALSE)</f>
        <v>O</v>
      </c>
      <c r="F67" s="130" t="s">
        <v>290</v>
      </c>
      <c r="G67" s="131"/>
      <c r="H67" s="132"/>
      <c r="I67" s="133" t="str">
        <f ca="1">IF(E67="n/a", "--&gt;N/A",
IF(COUNTIF(OFFSET(I67,1,0,COUNTIF(listReqCredits,D67)-1),"no")&gt;0,"--&gt; No",
IF(COUNTIF(OFFSET(I67,1,0,COUNTIF(listReqCredits,D67)-1),"n/a")=COUNTIF(listReqCredits,D67)-1,"--&gt; N/A",
IF(COUNTIF(OFFSET(I67,1,0,COUNTIF(listReqCredits,D67)-1),"yes")+COUNTIF(OFFSET(I67,1,0,COUNTIF(listReqCredits,D67)-1),"n/a")+COUNTIF(OFFSET(I67,1,0,COUNTIF(listReqCredits,D67)-1),"pending PV")=COUNTIF(listReqCredits,D67)-1,"--&gt; Yes",
IF(COUNTIF(OFFSET(I67,1,0,COUNTIF(listReqCredits,D67)-1),"yes")+COUNTIF(OFFSET(I67,1,0,COUNTIF(listReqCredits,D67)-1),"maybe")+COUNTIF(OFFSET(I67,1,0,COUNTIF(listReqCredits,D67)-1),"n/a")+COUNTIF(OFFSET(I67,1,0,COUNTIF(listReqCredits,D67)-1),"pending pv")=COUNTIF(listReqCredits,D67)-1,"--&gt; Maybe",
"")))))</f>
        <v/>
      </c>
      <c r="J67" s="134"/>
      <c r="K67" s="127"/>
      <c r="L67" s="135"/>
    </row>
    <row r="68" spans="2:12" s="150" customFormat="1" ht="85">
      <c r="B68" s="196"/>
      <c r="C68" s="136"/>
      <c r="D68" s="137">
        <v>13</v>
      </c>
      <c r="E68" s="138"/>
      <c r="F68" s="139" t="s">
        <v>392</v>
      </c>
      <c r="G68" s="179" t="s">
        <v>917</v>
      </c>
      <c r="H68" s="141" t="s">
        <v>40</v>
      </c>
      <c r="I68" s="142"/>
      <c r="J68" s="143"/>
      <c r="K68" s="127"/>
      <c r="L68" s="135"/>
    </row>
    <row r="69" spans="2:12" s="150" customFormat="1" ht="85">
      <c r="B69" s="196"/>
      <c r="C69" s="136"/>
      <c r="D69" s="137">
        <v>13</v>
      </c>
      <c r="E69" s="138"/>
      <c r="F69" s="139" t="s">
        <v>818</v>
      </c>
      <c r="G69" s="179" t="s">
        <v>918</v>
      </c>
      <c r="H69" s="141" t="s">
        <v>40</v>
      </c>
      <c r="I69" s="142"/>
      <c r="J69" s="143"/>
      <c r="K69" s="127"/>
      <c r="L69" s="135"/>
    </row>
    <row r="70" spans="2:12" s="150" customFormat="1" ht="68">
      <c r="B70" s="196"/>
      <c r="C70" s="136"/>
      <c r="D70" s="137">
        <v>13</v>
      </c>
      <c r="E70" s="138"/>
      <c r="F70" s="139" t="s">
        <v>393</v>
      </c>
      <c r="G70" s="151" t="s">
        <v>854</v>
      </c>
      <c r="H70" s="141" t="s">
        <v>40</v>
      </c>
      <c r="I70" s="142"/>
      <c r="J70" s="143"/>
      <c r="K70" s="127"/>
      <c r="L70" s="135"/>
    </row>
    <row r="71" spans="2:12" s="150" customFormat="1">
      <c r="B71" s="196"/>
      <c r="C71" s="148" t="s">
        <v>16</v>
      </c>
      <c r="D71" s="149">
        <v>14</v>
      </c>
      <c r="E71" s="129" t="str">
        <f>VLOOKUP(LEFT(F71,3),Admin!$A$4:$D$113,4,FALSE)</f>
        <v>O</v>
      </c>
      <c r="F71" s="130" t="s">
        <v>291</v>
      </c>
      <c r="G71" s="131"/>
      <c r="H71" s="132"/>
      <c r="I71" s="133" t="str">
        <f ca="1">IF(E71="n/a", "--&gt;N/A",
IF(COUNTIF(OFFSET(I71,1,0,COUNTIF(listReqCredits,D71)-1),"no")&gt;0,"--&gt; No",
IF(COUNTIF(OFFSET(I71,1,0,COUNTIF(listReqCredits,D71)-1),"n/a")=COUNTIF(listReqCredits,D71)-1,"--&gt; N/A",
IF(COUNTIF(OFFSET(I71,1,0,COUNTIF(listReqCredits,D71)-1),"yes")+COUNTIF(OFFSET(I71,1,0,COUNTIF(listReqCredits,D71)-1),"n/a")+COUNTIF(OFFSET(I71,1,0,COUNTIF(listReqCredits,D71)-1),"pending PV")=COUNTIF(listReqCredits,D71)-1,"--&gt; Yes",
IF(COUNTIF(OFFSET(I71,1,0,COUNTIF(listReqCredits,D71)-1),"yes")+COUNTIF(OFFSET(I71,1,0,COUNTIF(listReqCredits,D71)-1),"maybe")+COUNTIF(OFFSET(I71,1,0,COUNTIF(listReqCredits,D71)-1),"n/a")+COUNTIF(OFFSET(I71,1,0,COUNTIF(listReqCredits,D71)-1),"pending pv")=COUNTIF(listReqCredits,D71)-1,"--&gt; Maybe",
"")))))</f>
        <v/>
      </c>
      <c r="J71" s="134"/>
      <c r="K71" s="127"/>
      <c r="L71" s="135"/>
    </row>
    <row r="72" spans="2:12" s="150" customFormat="1" ht="85">
      <c r="B72" s="196"/>
      <c r="C72" s="136"/>
      <c r="D72" s="137">
        <v>14</v>
      </c>
      <c r="E72" s="138"/>
      <c r="F72" s="139" t="s">
        <v>394</v>
      </c>
      <c r="G72" s="140" t="s">
        <v>396</v>
      </c>
      <c r="H72" s="140" t="s">
        <v>395</v>
      </c>
      <c r="I72" s="142"/>
      <c r="J72" s="143"/>
      <c r="K72" s="127"/>
      <c r="L72" s="135"/>
    </row>
    <row r="73" spans="2:12" s="150" customFormat="1" ht="136">
      <c r="B73" s="196"/>
      <c r="C73" s="136"/>
      <c r="D73" s="137">
        <v>14</v>
      </c>
      <c r="E73" s="138"/>
      <c r="F73" s="139" t="s">
        <v>397</v>
      </c>
      <c r="G73" s="140" t="s">
        <v>616</v>
      </c>
      <c r="H73" s="140" t="s">
        <v>395</v>
      </c>
      <c r="I73" s="142"/>
      <c r="J73" s="143"/>
      <c r="K73" s="127"/>
      <c r="L73" s="135"/>
    </row>
    <row r="74" spans="2:12" s="150" customFormat="1" ht="85">
      <c r="B74" s="196"/>
      <c r="C74" s="136"/>
      <c r="D74" s="137">
        <v>14</v>
      </c>
      <c r="E74" s="138"/>
      <c r="F74" s="139" t="s">
        <v>398</v>
      </c>
      <c r="G74" s="140" t="s">
        <v>400</v>
      </c>
      <c r="H74" s="140" t="s">
        <v>395</v>
      </c>
      <c r="I74" s="142"/>
      <c r="J74" s="143"/>
      <c r="K74" s="127"/>
      <c r="L74" s="135"/>
    </row>
    <row r="75" spans="2:12" s="150" customFormat="1" ht="102">
      <c r="B75" s="196"/>
      <c r="C75" s="136"/>
      <c r="D75" s="137">
        <v>14</v>
      </c>
      <c r="E75" s="138"/>
      <c r="F75" s="139" t="s">
        <v>399</v>
      </c>
      <c r="G75" s="140" t="s">
        <v>401</v>
      </c>
      <c r="H75" s="140" t="s">
        <v>395</v>
      </c>
      <c r="I75" s="142"/>
      <c r="J75" s="143"/>
      <c r="K75" s="127"/>
      <c r="L75" s="135"/>
    </row>
    <row r="76" spans="2:12" s="150" customFormat="1">
      <c r="B76" s="196"/>
      <c r="C76" s="148" t="s">
        <v>16</v>
      </c>
      <c r="D76" s="149">
        <v>15</v>
      </c>
      <c r="E76" s="129" t="str">
        <f>VLOOKUP(LEFT(F76,3),Admin!$A$4:$D$113,4,FALSE)</f>
        <v>O</v>
      </c>
      <c r="F76" s="130" t="s">
        <v>292</v>
      </c>
      <c r="G76" s="131"/>
      <c r="H76" s="132"/>
      <c r="I76" s="133" t="str">
        <f ca="1">IF(E76="n/a", "--&gt;N/A",
IF(COUNTIF(OFFSET(I76,1,0,COUNTIF(listReqCredits,D76)-1),"no")&gt;0,"--&gt; No",
IF(COUNTIF(OFFSET(I76,1,0,COUNTIF(listReqCredits,D76)-1),"n/a")=COUNTIF(listReqCredits,D76)-1,"--&gt; N/A",
IF(COUNTIF(OFFSET(I76,1,0,COUNTIF(listReqCredits,D76)-1),"yes")+COUNTIF(OFFSET(I76,1,0,COUNTIF(listReqCredits,D76)-1),"n/a")+COUNTIF(OFFSET(I76,1,0,COUNTIF(listReqCredits,D76)-1),"pending PV")=COUNTIF(listReqCredits,D76)-1,"--&gt; Yes",
IF(COUNTIF(OFFSET(I76,1,0,COUNTIF(listReqCredits,D76)-1),"yes")+COUNTIF(OFFSET(I76,1,0,COUNTIF(listReqCredits,D76)-1),"maybe")+COUNTIF(OFFSET(I76,1,0,COUNTIF(listReqCredits,D76)-1),"n/a")+COUNTIF(OFFSET(I76,1,0,COUNTIF(listReqCredits,D76)-1),"pending pv")=COUNTIF(listReqCredits,D76)-1,"--&gt; Maybe",
"")))))</f>
        <v/>
      </c>
      <c r="J76" s="134"/>
      <c r="K76" s="127"/>
      <c r="L76" s="135"/>
    </row>
    <row r="77" spans="2:12" s="150" customFormat="1" ht="204">
      <c r="B77" s="196"/>
      <c r="C77" s="136"/>
      <c r="D77" s="137">
        <v>15</v>
      </c>
      <c r="E77" s="138"/>
      <c r="F77" s="139" t="s">
        <v>402</v>
      </c>
      <c r="G77" s="140" t="s">
        <v>711</v>
      </c>
      <c r="H77" s="141" t="s">
        <v>40</v>
      </c>
      <c r="I77" s="142"/>
      <c r="J77" s="143"/>
      <c r="K77" s="127"/>
      <c r="L77" s="135"/>
    </row>
    <row r="78" spans="2:12" s="150" customFormat="1">
      <c r="B78" s="196"/>
      <c r="C78" s="148" t="s">
        <v>16</v>
      </c>
      <c r="D78" s="149">
        <v>16</v>
      </c>
      <c r="E78" s="129" t="str">
        <f>VLOOKUP(LEFT(F78,3),Admin!$A$4:$D$113,4,FALSE)</f>
        <v>O</v>
      </c>
      <c r="F78" s="130" t="s">
        <v>293</v>
      </c>
      <c r="G78" s="131"/>
      <c r="H78" s="132"/>
      <c r="I78" s="133" t="str">
        <f ca="1">IF(E78="n/a", "--&gt;N/A",
IF(COUNTIF(OFFSET(I78,1,0,COUNTIF(listReqCredits,D78)-1),"no")&gt;0,"--&gt; No",
IF(COUNTIF(OFFSET(I78,1,0,COUNTIF(listReqCredits,D78)-1),"n/a")=COUNTIF(listReqCredits,D78)-1,"--&gt; N/A",
IF(COUNTIF(OFFSET(I78,1,0,COUNTIF(listReqCredits,D78)-1),"yes")+COUNTIF(OFFSET(I78,1,0,COUNTIF(listReqCredits,D78)-1),"n/a")+COUNTIF(OFFSET(I78,1,0,COUNTIF(listReqCredits,D78)-1),"pending PV")=COUNTIF(listReqCredits,D78)-1,"--&gt; Yes",
IF(COUNTIF(OFFSET(I78,1,0,COUNTIF(listReqCredits,D78)-1),"yes")+COUNTIF(OFFSET(I78,1,0,COUNTIF(listReqCredits,D78)-1),"maybe")+COUNTIF(OFFSET(I78,1,0,COUNTIF(listReqCredits,D78)-1),"n/a")+COUNTIF(OFFSET(I78,1,0,COUNTIF(listReqCredits,D78)-1),"pending pv")=COUNTIF(listReqCredits,D78)-1,"--&gt; Maybe",
"")))))</f>
        <v/>
      </c>
      <c r="J78" s="134"/>
      <c r="K78" s="127"/>
      <c r="L78" s="135"/>
    </row>
    <row r="79" spans="2:12" s="150" customFormat="1" ht="119">
      <c r="B79" s="196"/>
      <c r="C79" s="136"/>
      <c r="D79" s="137">
        <v>16</v>
      </c>
      <c r="E79" s="138"/>
      <c r="F79" s="139" t="s">
        <v>403</v>
      </c>
      <c r="G79" s="140" t="s">
        <v>819</v>
      </c>
      <c r="H79" s="179" t="s">
        <v>927</v>
      </c>
      <c r="I79" s="142"/>
      <c r="J79" s="143"/>
      <c r="K79" s="127"/>
      <c r="L79" s="135"/>
    </row>
    <row r="80" spans="2:12" s="150" customFormat="1" ht="102">
      <c r="B80" s="196"/>
      <c r="C80" s="136"/>
      <c r="D80" s="137">
        <v>16</v>
      </c>
      <c r="E80" s="138"/>
      <c r="F80" s="139" t="s">
        <v>404</v>
      </c>
      <c r="G80" s="140" t="s">
        <v>820</v>
      </c>
      <c r="H80" s="140" t="s">
        <v>405</v>
      </c>
      <c r="I80" s="142"/>
      <c r="J80" s="143"/>
      <c r="K80" s="127"/>
      <c r="L80" s="135"/>
    </row>
    <row r="81" spans="2:12" s="150" customFormat="1" ht="85">
      <c r="B81" s="196"/>
      <c r="C81" s="136"/>
      <c r="D81" s="137">
        <v>16</v>
      </c>
      <c r="E81" s="138"/>
      <c r="F81" s="152" t="s">
        <v>406</v>
      </c>
      <c r="G81" s="179" t="s">
        <v>967</v>
      </c>
      <c r="H81" s="140" t="s">
        <v>395</v>
      </c>
      <c r="I81" s="142"/>
      <c r="J81" s="143"/>
      <c r="K81" s="127"/>
      <c r="L81" s="135"/>
    </row>
    <row r="82" spans="2:12" s="150" customFormat="1">
      <c r="B82" s="196"/>
      <c r="C82" s="148" t="s">
        <v>16</v>
      </c>
      <c r="D82" s="149">
        <v>17</v>
      </c>
      <c r="E82" s="129" t="str">
        <f>VLOOKUP(LEFT(F82,3),Admin!$A$4:$D$113,4,FALSE)</f>
        <v>O</v>
      </c>
      <c r="F82" s="130" t="s">
        <v>294</v>
      </c>
      <c r="G82" s="131"/>
      <c r="H82" s="132"/>
      <c r="I82" s="133" t="str">
        <f ca="1">IF(E82="n/a", "--&gt;N/A",
IF(COUNTIF(OFFSET(I82,1,0,COUNTIF(listReqCredits,D82)-1),"no")&gt;0,"--&gt; No",
IF(COUNTIF(OFFSET(I82,1,0,COUNTIF(listReqCredits,D82)-1),"n/a")=COUNTIF(listReqCredits,D82)-1,"--&gt; N/A",
IF(COUNTIF(OFFSET(I82,1,0,COUNTIF(listReqCredits,D82)-1),"yes")+COUNTIF(OFFSET(I82,1,0,COUNTIF(listReqCredits,D82)-1),"n/a")+COUNTIF(OFFSET(I82,1,0,COUNTIF(listReqCredits,D82)-1),"pending PV")=COUNTIF(listReqCredits,D82)-1,"--&gt; Yes",
IF(COUNTIF(OFFSET(I82,1,0,COUNTIF(listReqCredits,D82)-1),"yes")+COUNTIF(OFFSET(I82,1,0,COUNTIF(listReqCredits,D82)-1),"maybe")+COUNTIF(OFFSET(I82,1,0,COUNTIF(listReqCredits,D82)-1),"n/a")+COUNTIF(OFFSET(I82,1,0,COUNTIF(listReqCredits,D82)-1),"pending pv")=COUNTIF(listReqCredits,D82)-1,"--&gt; Maybe",
"")))))</f>
        <v/>
      </c>
      <c r="J82" s="134"/>
      <c r="K82" s="127"/>
      <c r="L82" s="135"/>
    </row>
    <row r="83" spans="2:12" s="150" customFormat="1" ht="84">
      <c r="B83" s="196"/>
      <c r="C83" s="136"/>
      <c r="D83" s="137">
        <v>17</v>
      </c>
      <c r="E83" s="138"/>
      <c r="F83" s="139" t="s">
        <v>407</v>
      </c>
      <c r="G83" s="140" t="s">
        <v>864</v>
      </c>
      <c r="H83" s="179" t="s">
        <v>938</v>
      </c>
      <c r="I83" s="142"/>
      <c r="J83" s="143"/>
      <c r="K83" s="127"/>
      <c r="L83" s="135"/>
    </row>
    <row r="84" spans="2:12" s="150" customFormat="1" ht="85">
      <c r="B84" s="196"/>
      <c r="C84" s="136"/>
      <c r="D84" s="137">
        <v>17</v>
      </c>
      <c r="E84" s="138"/>
      <c r="F84" s="139" t="s">
        <v>408</v>
      </c>
      <c r="G84" s="140" t="s">
        <v>712</v>
      </c>
      <c r="H84" s="179" t="s">
        <v>932</v>
      </c>
      <c r="I84" s="142"/>
      <c r="J84" s="143"/>
      <c r="K84" s="127"/>
      <c r="L84" s="135"/>
    </row>
    <row r="85" spans="2:12" s="150" customFormat="1" ht="119">
      <c r="B85" s="196"/>
      <c r="C85" s="136"/>
      <c r="D85" s="137">
        <v>17</v>
      </c>
      <c r="E85" s="138"/>
      <c r="F85" s="139" t="s">
        <v>410</v>
      </c>
      <c r="G85" s="140" t="s">
        <v>713</v>
      </c>
      <c r="H85" s="179" t="s">
        <v>933</v>
      </c>
      <c r="I85" s="142"/>
      <c r="J85" s="143"/>
      <c r="K85" s="127"/>
      <c r="L85" s="135"/>
    </row>
    <row r="86" spans="2:12" s="150" customFormat="1" ht="102">
      <c r="B86" s="196"/>
      <c r="C86" s="136"/>
      <c r="D86" s="137">
        <v>17</v>
      </c>
      <c r="E86" s="138"/>
      <c r="F86" s="139" t="s">
        <v>411</v>
      </c>
      <c r="G86" s="140" t="s">
        <v>714</v>
      </c>
      <c r="H86" s="179" t="s">
        <v>395</v>
      </c>
      <c r="I86" s="142"/>
      <c r="J86" s="143"/>
      <c r="K86" s="127"/>
      <c r="L86" s="135"/>
    </row>
    <row r="87" spans="2:12" s="150" customFormat="1" ht="187">
      <c r="B87" s="196"/>
      <c r="C87" s="136"/>
      <c r="D87" s="137">
        <v>17</v>
      </c>
      <c r="E87" s="138"/>
      <c r="F87" s="139" t="s">
        <v>412</v>
      </c>
      <c r="G87" s="140" t="s">
        <v>715</v>
      </c>
      <c r="H87" s="140" t="s">
        <v>395</v>
      </c>
      <c r="I87" s="142"/>
      <c r="J87" s="143"/>
      <c r="K87" s="127"/>
      <c r="L87" s="135"/>
    </row>
    <row r="88" spans="2:12" s="150" customFormat="1">
      <c r="B88" s="196"/>
      <c r="C88" s="148" t="s">
        <v>16</v>
      </c>
      <c r="D88" s="149">
        <v>18</v>
      </c>
      <c r="E88" s="129" t="str">
        <f>VLOOKUP(LEFT(F88,3),Admin!$A$4:$D$113,4,FALSE)</f>
        <v>O</v>
      </c>
      <c r="F88" s="130" t="s">
        <v>295</v>
      </c>
      <c r="G88" s="131"/>
      <c r="H88" s="132"/>
      <c r="I88" s="133" t="str">
        <f ca="1">IF(E88="n/a", "--&gt;N/A",
IF(COUNTIF(OFFSET(I88,1,0,COUNTIF(listReqCredits,D88)-1),"no")&gt;0,"--&gt; No",
IF(COUNTIF(OFFSET(I88,1,0,COUNTIF(listReqCredits,D88)-1),"n/a")=COUNTIF(listReqCredits,D88)-1,"--&gt; N/A",
IF(COUNTIF(OFFSET(I88,1,0,COUNTIF(listReqCredits,D88)-1),"yes")+COUNTIF(OFFSET(I88,1,0,COUNTIF(listReqCredits,D88)-1),"n/a")+COUNTIF(OFFSET(I88,1,0,COUNTIF(listReqCredits,D88)-1),"pending PV")=COUNTIF(listReqCredits,D88)-1,"--&gt; Yes",
IF(COUNTIF(OFFSET(I88,1,0,COUNTIF(listReqCredits,D88)-1),"yes")+COUNTIF(OFFSET(I88,1,0,COUNTIF(listReqCredits,D88)-1),"maybe")+COUNTIF(OFFSET(I88,1,0,COUNTIF(listReqCredits,D88)-1),"n/a")+COUNTIF(OFFSET(I88,1,0,COUNTIF(listReqCredits,D88)-1),"pending pv")=COUNTIF(listReqCredits,D88)-1,"--&gt; Maybe",
"")))))</f>
        <v/>
      </c>
      <c r="J88" s="134"/>
      <c r="K88" s="127"/>
      <c r="L88" s="135"/>
    </row>
    <row r="89" spans="2:12" s="150" customFormat="1" ht="119">
      <c r="B89" s="196"/>
      <c r="C89" s="136"/>
      <c r="D89" s="137">
        <v>18</v>
      </c>
      <c r="E89" s="138"/>
      <c r="F89" s="139" t="s">
        <v>413</v>
      </c>
      <c r="G89" s="140" t="s">
        <v>855</v>
      </c>
      <c r="H89" s="140" t="s">
        <v>395</v>
      </c>
      <c r="I89" s="142"/>
      <c r="J89" s="143"/>
      <c r="K89" s="127"/>
      <c r="L89" s="135"/>
    </row>
    <row r="90" spans="2:12" s="150" customFormat="1" ht="119">
      <c r="B90" s="196"/>
      <c r="C90" s="136"/>
      <c r="D90" s="137">
        <v>18</v>
      </c>
      <c r="E90" s="138"/>
      <c r="F90" s="139" t="s">
        <v>414</v>
      </c>
      <c r="G90" s="140" t="s">
        <v>856</v>
      </c>
      <c r="H90" s="141" t="s">
        <v>865</v>
      </c>
      <c r="I90" s="142"/>
      <c r="J90" s="143"/>
      <c r="K90" s="127"/>
      <c r="L90" s="135"/>
    </row>
    <row r="91" spans="2:12" s="150" customFormat="1" ht="119">
      <c r="B91" s="196"/>
      <c r="C91" s="136"/>
      <c r="D91" s="137">
        <v>18</v>
      </c>
      <c r="E91" s="138"/>
      <c r="F91" s="152" t="s">
        <v>415</v>
      </c>
      <c r="G91" s="140" t="s">
        <v>853</v>
      </c>
      <c r="H91" s="140" t="s">
        <v>409</v>
      </c>
      <c r="I91" s="142"/>
      <c r="J91" s="143"/>
      <c r="K91" s="127"/>
      <c r="L91" s="135"/>
    </row>
    <row r="92" spans="2:12" s="150" customFormat="1" ht="306">
      <c r="B92" s="196"/>
      <c r="C92" s="136"/>
      <c r="D92" s="137">
        <v>18</v>
      </c>
      <c r="E92" s="138"/>
      <c r="F92" s="152" t="s">
        <v>416</v>
      </c>
      <c r="G92" s="140" t="s">
        <v>617</v>
      </c>
      <c r="H92" s="140" t="s">
        <v>395</v>
      </c>
      <c r="I92" s="142"/>
      <c r="J92" s="143"/>
      <c r="K92" s="127"/>
      <c r="L92" s="135"/>
    </row>
    <row r="93" spans="2:12" s="150" customFormat="1">
      <c r="B93" s="196"/>
      <c r="C93" s="148" t="s">
        <v>16</v>
      </c>
      <c r="D93" s="149">
        <v>19</v>
      </c>
      <c r="E93" s="129" t="str">
        <f>VLOOKUP(LEFT(F93,3),Admin!$A$4:$D$113,4,FALSE)</f>
        <v>O</v>
      </c>
      <c r="F93" s="130" t="s">
        <v>866</v>
      </c>
      <c r="G93" s="131"/>
      <c r="H93" s="132"/>
      <c r="I93" s="133" t="str">
        <f ca="1">IF(E93="n/a", "--&gt;N/A",
IF(COUNTIF(OFFSET(I93,1,0,COUNTIF(listReqCredits,D93)-1),"no")&gt;0,"--&gt; No",
IF(COUNTIF(OFFSET(I93,1,0,COUNTIF(listReqCredits,D93)-1),"n/a")=COUNTIF(listReqCredits,D93)-1,"--&gt; N/A",
IF(COUNTIF(OFFSET(I93,1,0,COUNTIF(listReqCredits,D93)-1),"yes")+COUNTIF(OFFSET(I93,1,0,COUNTIF(listReqCredits,D93)-1),"n/a")+COUNTIF(OFFSET(I93,1,0,COUNTIF(listReqCredits,D93)-1),"pending PV")=COUNTIF(listReqCredits,D93)-1,"--&gt; Yes",
IF(COUNTIF(OFFSET(I93,1,0,COUNTIF(listReqCredits,D93)-1),"yes")+COUNTIF(OFFSET(I93,1,0,COUNTIF(listReqCredits,D93)-1),"maybe")+COUNTIF(OFFSET(I93,1,0,COUNTIF(listReqCredits,D93)-1),"n/a")+COUNTIF(OFFSET(I93,1,0,COUNTIF(listReqCredits,D93)-1),"pending pv")=COUNTIF(listReqCredits,D93)-1,"--&gt; Maybe",
"")))))</f>
        <v/>
      </c>
      <c r="J93" s="134"/>
      <c r="K93" s="146"/>
      <c r="L93" s="135"/>
    </row>
    <row r="94" spans="2:12" s="150" customFormat="1" ht="187">
      <c r="B94" s="196"/>
      <c r="C94" s="136"/>
      <c r="D94" s="137">
        <v>19</v>
      </c>
      <c r="E94" s="138"/>
      <c r="F94" s="139" t="s">
        <v>417</v>
      </c>
      <c r="G94" s="140" t="s">
        <v>867</v>
      </c>
      <c r="H94" s="141" t="s">
        <v>409</v>
      </c>
      <c r="I94" s="142"/>
      <c r="J94" s="143"/>
      <c r="K94" s="146"/>
      <c r="L94" s="135"/>
    </row>
    <row r="95" spans="2:12" s="150" customFormat="1" ht="102">
      <c r="B95" s="196"/>
      <c r="C95" s="136"/>
      <c r="D95" s="137">
        <v>19</v>
      </c>
      <c r="E95" s="138"/>
      <c r="F95" s="139" t="s">
        <v>868</v>
      </c>
      <c r="G95" s="140" t="s">
        <v>869</v>
      </c>
      <c r="H95" s="141" t="s">
        <v>409</v>
      </c>
      <c r="I95" s="142"/>
      <c r="J95" s="143"/>
      <c r="K95" s="146"/>
      <c r="L95" s="135"/>
    </row>
    <row r="96" spans="2:12" s="127" customFormat="1">
      <c r="B96" s="196"/>
      <c r="C96" s="148" t="s">
        <v>16</v>
      </c>
      <c r="D96" s="149">
        <v>20</v>
      </c>
      <c r="E96" s="129" t="str">
        <f>VLOOKUP(LEFT(F96,3),Admin!$A$4:$D$113,4,FALSE)</f>
        <v>O</v>
      </c>
      <c r="F96" s="130" t="s">
        <v>296</v>
      </c>
      <c r="G96" s="131"/>
      <c r="H96" s="132"/>
      <c r="I96" s="133" t="str">
        <f ca="1">IF(E96="n/a", "--&gt;N/A",
IF(COUNTIF(OFFSET(I96,1,0,COUNTIF(listReqCredits,D96)-1),"no")&gt;0,"--&gt; No",
IF(COUNTIF(OFFSET(I96,1,0,COUNTIF(listReqCredits,D96)-1),"n/a")=COUNTIF(listReqCredits,D96)-1,"--&gt; N/A",
IF(COUNTIF(OFFSET(I96,1,0,COUNTIF(listReqCredits,D96)-1),"yes")+COUNTIF(OFFSET(I96,1,0,COUNTIF(listReqCredits,D96)-1),"n/a")+COUNTIF(OFFSET(I96,1,0,COUNTIF(listReqCredits,D96)-1),"pending PV")=COUNTIF(listReqCredits,D96)-1,"--&gt; Yes",
IF(COUNTIF(OFFSET(I96,1,0,COUNTIF(listReqCredits,D96)-1),"yes")+COUNTIF(OFFSET(I96,1,0,COUNTIF(listReqCredits,D96)-1),"maybe")+COUNTIF(OFFSET(I96,1,0,COUNTIF(listReqCredits,D96)-1),"n/a")+COUNTIF(OFFSET(I96,1,0,COUNTIF(listReqCredits,D96)-1),"pending pv")=COUNTIF(listReqCredits,D96)-1,"--&gt; Maybe",
"")))))</f>
        <v/>
      </c>
      <c r="J96" s="134"/>
      <c r="K96" s="146"/>
      <c r="L96" s="135"/>
    </row>
    <row r="97" spans="2:12" s="127" customFormat="1" ht="238">
      <c r="B97" s="196"/>
      <c r="C97" s="136"/>
      <c r="D97" s="137">
        <v>20</v>
      </c>
      <c r="E97" s="138"/>
      <c r="F97" s="139" t="s">
        <v>418</v>
      </c>
      <c r="G97" s="140" t="s">
        <v>716</v>
      </c>
      <c r="H97" s="140" t="s">
        <v>419</v>
      </c>
      <c r="I97" s="142"/>
      <c r="J97" s="143"/>
      <c r="K97" s="146"/>
      <c r="L97" s="135"/>
    </row>
    <row r="98" spans="2:12" s="127" customFormat="1">
      <c r="B98" s="196"/>
      <c r="C98" s="148" t="s">
        <v>16</v>
      </c>
      <c r="D98" s="149">
        <v>21</v>
      </c>
      <c r="E98" s="129" t="str">
        <f>VLOOKUP(LEFT(F98,3),Admin!$A$4:$D$113,4,FALSE)</f>
        <v>O</v>
      </c>
      <c r="F98" s="130" t="s">
        <v>297</v>
      </c>
      <c r="G98" s="131"/>
      <c r="H98" s="132"/>
      <c r="I98" s="133" t="str">
        <f ca="1">IF(E98="n/a", "--&gt;N/A",
IF(COUNTIF(OFFSET(I98,1,0,COUNTIF(listReqCredits,D98)-1),"no")&gt;0,"--&gt; No",
IF(COUNTIF(OFFSET(I98,1,0,COUNTIF(listReqCredits,D98)-1),"n/a")=COUNTIF(listReqCredits,D98)-1,"--&gt; N/A",
IF(COUNTIF(OFFSET(I98,1,0,COUNTIF(listReqCredits,D98)-1),"yes")+COUNTIF(OFFSET(I98,1,0,COUNTIF(listReqCredits,D98)-1),"n/a")+COUNTIF(OFFSET(I98,1,0,COUNTIF(listReqCredits,D98)-1),"pending PV")=COUNTIF(listReqCredits,D98)-1,"--&gt; Yes",
IF(COUNTIF(OFFSET(I98,1,0,COUNTIF(listReqCredits,D98)-1),"yes")+COUNTIF(OFFSET(I98,1,0,COUNTIF(listReqCredits,D98)-1),"maybe")+COUNTIF(OFFSET(I98,1,0,COUNTIF(listReqCredits,D98)-1),"n/a")+COUNTIF(OFFSET(I98,1,0,COUNTIF(listReqCredits,D98)-1),"pending pv")=COUNTIF(listReqCredits,D98)-1,"--&gt; Maybe",
"")))))</f>
        <v/>
      </c>
      <c r="J98" s="134"/>
      <c r="K98" s="146"/>
      <c r="L98" s="135"/>
    </row>
    <row r="99" spans="2:12" s="127" customFormat="1" ht="119">
      <c r="B99" s="196"/>
      <c r="C99" s="136"/>
      <c r="D99" s="137">
        <v>21</v>
      </c>
      <c r="E99" s="138"/>
      <c r="F99" s="139" t="s">
        <v>420</v>
      </c>
      <c r="G99" s="140" t="s">
        <v>821</v>
      </c>
      <c r="H99" s="140" t="s">
        <v>419</v>
      </c>
      <c r="I99" s="142"/>
      <c r="J99" s="143"/>
      <c r="K99" s="146"/>
      <c r="L99" s="135"/>
    </row>
    <row r="100" spans="2:12" s="127" customFormat="1" ht="15" customHeight="1">
      <c r="B100" s="190" t="s">
        <v>2</v>
      </c>
      <c r="C100" s="153" t="s">
        <v>17</v>
      </c>
      <c r="D100" s="153">
        <v>22</v>
      </c>
      <c r="E100" s="129" t="str">
        <f>VLOOKUP(LEFT(F100,3),Admin!$A$4:$D$113,4,FALSE)</f>
        <v>P</v>
      </c>
      <c r="F100" s="130" t="s">
        <v>298</v>
      </c>
      <c r="G100" s="131"/>
      <c r="H100" s="132"/>
      <c r="I100" s="133" t="str">
        <f ca="1">IF(E100="n/a", "--&gt;N/A",
IF(COUNTIF(OFFSET(I100,1,0,COUNTIF(listReqCredits,D100)-1),"no")&gt;0,"--&gt; No",
IF(COUNTIF(OFFSET(I100,1,0,COUNTIF(listReqCredits,D100)-1),"n/a")=COUNTIF(listReqCredits,D100)-1,"--&gt; N/A",
IF(COUNTIF(OFFSET(I100,1,0,COUNTIF(listReqCredits,D100)-1),"yes")+COUNTIF(OFFSET(I100,1,0,COUNTIF(listReqCredits,D100)-1),"n/a")+COUNTIF(OFFSET(I100,1,0,COUNTIF(listReqCredits,D100)-1),"pending PV")=COUNTIF(listReqCredits,D100)-1,"--&gt; Yes",
IF(COUNTIF(OFFSET(I100,1,0,COUNTIF(listReqCredits,D100)-1),"yes")+COUNTIF(OFFSET(I100,1,0,COUNTIF(listReqCredits,D100)-1),"maybe")+COUNTIF(OFFSET(I100,1,0,COUNTIF(listReqCredits,D100)-1),"n/a")+COUNTIF(OFFSET(I100,1,0,COUNTIF(listReqCredits,D100)-1),"pending pv")=COUNTIF(listReqCredits,D100)-1,"--&gt; Maybe",
"")))))</f>
        <v/>
      </c>
      <c r="J100" s="134"/>
      <c r="L100" s="135"/>
    </row>
    <row r="101" spans="2:12" s="127" customFormat="1" ht="102">
      <c r="B101" s="190"/>
      <c r="C101" s="136"/>
      <c r="D101" s="137">
        <v>22</v>
      </c>
      <c r="E101" s="138"/>
      <c r="F101" s="139" t="s">
        <v>421</v>
      </c>
      <c r="G101" s="179" t="s">
        <v>956</v>
      </c>
      <c r="H101" s="179" t="s">
        <v>938</v>
      </c>
      <c r="I101" s="142"/>
      <c r="J101" s="143"/>
      <c r="L101" s="135"/>
    </row>
    <row r="102" spans="2:12" s="127" customFormat="1" ht="119">
      <c r="B102" s="190"/>
      <c r="C102" s="136"/>
      <c r="D102" s="137">
        <v>22</v>
      </c>
      <c r="E102" s="138"/>
      <c r="F102" s="139" t="s">
        <v>593</v>
      </c>
      <c r="G102" s="179" t="s">
        <v>953</v>
      </c>
      <c r="H102" s="179" t="s">
        <v>938</v>
      </c>
      <c r="I102" s="142"/>
      <c r="J102" s="143"/>
      <c r="L102" s="135"/>
    </row>
    <row r="103" spans="2:12" s="127" customFormat="1">
      <c r="B103" s="190"/>
      <c r="C103" s="153" t="s">
        <v>17</v>
      </c>
      <c r="D103" s="153">
        <v>23</v>
      </c>
      <c r="E103" s="129" t="str">
        <f>VLOOKUP(LEFT(F103,3),Admin!$A$4:$D$113,4,FALSE)</f>
        <v>O</v>
      </c>
      <c r="F103" s="130" t="s">
        <v>299</v>
      </c>
      <c r="G103" s="131"/>
      <c r="H103" s="132"/>
      <c r="I103" s="133" t="str">
        <f ca="1">IF(E103="n/a", "--&gt;N/A",
IF(COUNTIF(OFFSET(I103,1,0,COUNTIF(listReqCredits,D103)-1),"no")&gt;0,"--&gt; No",
IF(COUNTIF(OFFSET(I103,1,0,COUNTIF(listReqCredits,D103)-1),"n/a")=COUNTIF(listReqCredits,D103)-1,"--&gt; N/A",
IF(COUNTIF(OFFSET(I103,1,0,COUNTIF(listReqCredits,D103)-1),"yes")+COUNTIF(OFFSET(I103,1,0,COUNTIF(listReqCredits,D103)-1),"n/a")+COUNTIF(OFFSET(I103,1,0,COUNTIF(listReqCredits,D103)-1),"pending PV")=COUNTIF(listReqCredits,D103)-1,"--&gt; Yes",
IF(COUNTIF(OFFSET(I103,1,0,COUNTIF(listReqCredits,D103)-1),"yes")+COUNTIF(OFFSET(I103,1,0,COUNTIF(listReqCredits,D103)-1),"maybe")+COUNTIF(OFFSET(I103,1,0,COUNTIF(listReqCredits,D103)-1),"n/a")+COUNTIF(OFFSET(I103,1,0,COUNTIF(listReqCredits,D103)-1),"pending pv")=COUNTIF(listReqCredits,D103)-1,"--&gt; Maybe",
"")))))</f>
        <v/>
      </c>
      <c r="J103" s="134"/>
      <c r="L103" s="135"/>
    </row>
    <row r="104" spans="2:12" s="127" customFormat="1" ht="153">
      <c r="B104" s="190"/>
      <c r="C104" s="136"/>
      <c r="D104" s="137">
        <v>23</v>
      </c>
      <c r="E104" s="138"/>
      <c r="F104" s="139" t="s">
        <v>422</v>
      </c>
      <c r="G104" s="140" t="s">
        <v>618</v>
      </c>
      <c r="H104" s="179" t="s">
        <v>938</v>
      </c>
      <c r="I104" s="142"/>
      <c r="J104" s="143"/>
      <c r="L104" s="135"/>
    </row>
    <row r="105" spans="2:12" s="127" customFormat="1">
      <c r="B105" s="190"/>
      <c r="C105" s="153" t="s">
        <v>17</v>
      </c>
      <c r="D105" s="153">
        <v>24</v>
      </c>
      <c r="E105" s="129" t="str">
        <f>VLOOKUP(LEFT(F105,3),Admin!$A$4:$D$113,4,FALSE)</f>
        <v>O</v>
      </c>
      <c r="F105" s="130" t="s">
        <v>761</v>
      </c>
      <c r="G105" s="131"/>
      <c r="H105" s="132"/>
      <c r="I105" s="133" t="str">
        <f ca="1">IF(E105="n/a", "--&gt;N/A",
IF(COUNTIF(OFFSET(I105,1,0,COUNTIF(listReqCredits,D105)-1),"no")&gt;0,"--&gt; No",
IF(COUNTIF(OFFSET(I105,1,0,COUNTIF(listReqCredits,D105)-1),"n/a")=COUNTIF(listReqCredits,D105)-1,"--&gt; N/A",
IF(COUNTIF(OFFSET(I105,1,0,COUNTIF(listReqCredits,D105)-1),"yes")+COUNTIF(OFFSET(I105,1,0,COUNTIF(listReqCredits,D105)-1),"n/a")+COUNTIF(OFFSET(I105,1,0,COUNTIF(listReqCredits,D105)-1),"pending PV")=COUNTIF(listReqCredits,D105)-1,"--&gt; Yes",
IF(COUNTIF(OFFSET(I105,1,0,COUNTIF(listReqCredits,D105)-1),"yes")+COUNTIF(OFFSET(I105,1,0,COUNTIF(listReqCredits,D105)-1),"maybe")+COUNTIF(OFFSET(I105,1,0,COUNTIF(listReqCredits,D105)-1),"n/a")+COUNTIF(OFFSET(I105,1,0,COUNTIF(listReqCredits,D105)-1),"pending pv")=COUNTIF(listReqCredits,D105)-1,"--&gt; Maybe",
"")))))</f>
        <v/>
      </c>
      <c r="J105" s="134"/>
      <c r="L105" s="135"/>
    </row>
    <row r="106" spans="2:12" s="127" customFormat="1" ht="119">
      <c r="B106" s="190"/>
      <c r="C106" s="136"/>
      <c r="D106" s="137">
        <v>24</v>
      </c>
      <c r="E106" s="138"/>
      <c r="F106" s="139" t="s">
        <v>423</v>
      </c>
      <c r="G106" s="140" t="s">
        <v>717</v>
      </c>
      <c r="H106" s="141" t="s">
        <v>41</v>
      </c>
      <c r="I106" s="142"/>
      <c r="J106" s="143"/>
      <c r="L106" s="135"/>
    </row>
    <row r="107" spans="2:12" s="127" customFormat="1" ht="136">
      <c r="B107" s="190"/>
      <c r="C107" s="136"/>
      <c r="D107" s="137">
        <v>24</v>
      </c>
      <c r="E107" s="138"/>
      <c r="F107" s="139" t="s">
        <v>424</v>
      </c>
      <c r="G107" s="140" t="s">
        <v>718</v>
      </c>
      <c r="H107" s="141" t="s">
        <v>41</v>
      </c>
      <c r="I107" s="142"/>
      <c r="J107" s="143"/>
      <c r="L107" s="135"/>
    </row>
    <row r="108" spans="2:12" s="127" customFormat="1">
      <c r="B108" s="190"/>
      <c r="C108" s="153" t="s">
        <v>17</v>
      </c>
      <c r="D108" s="153">
        <v>25</v>
      </c>
      <c r="E108" s="129" t="str">
        <f>VLOOKUP(LEFT(F108,3),Admin!$A$4:$D$113,4,FALSE)</f>
        <v>O</v>
      </c>
      <c r="F108" s="130" t="s">
        <v>300</v>
      </c>
      <c r="G108" s="131"/>
      <c r="H108" s="132"/>
      <c r="I108" s="133" t="str">
        <f ca="1">IF(E108="n/a", "--&gt;N/A",
IF(COUNTIF(OFFSET(I108,1,0,COUNTIF(listReqCredits,D108)-1),"no")&gt;0,"--&gt; No",
IF(COUNTIF(OFFSET(I108,1,0,COUNTIF(listReqCredits,D108)-1),"n/a")=COUNTIF(listReqCredits,D108)-1,"--&gt; N/A",
IF(COUNTIF(OFFSET(I108,1,0,COUNTIF(listReqCredits,D108)-1),"yes")+COUNTIF(OFFSET(I108,1,0,COUNTIF(listReqCredits,D108)-1),"n/a")+COUNTIF(OFFSET(I108,1,0,COUNTIF(listReqCredits,D108)-1),"pending PV")=COUNTIF(listReqCredits,D108)-1,"--&gt; Yes",
IF(COUNTIF(OFFSET(I108,1,0,COUNTIF(listReqCredits,D108)-1),"yes")+COUNTIF(OFFSET(I108,1,0,COUNTIF(listReqCredits,D108)-1),"maybe")+COUNTIF(OFFSET(I108,1,0,COUNTIF(listReqCredits,D108)-1),"n/a")+COUNTIF(OFFSET(I108,1,0,COUNTIF(listReqCredits,D108)-1),"pending pv")=COUNTIF(listReqCredits,D108)-1,"--&gt; Maybe",
"")))))</f>
        <v/>
      </c>
      <c r="J108" s="134"/>
      <c r="K108" s="146"/>
      <c r="L108" s="135"/>
    </row>
    <row r="109" spans="2:12" s="127" customFormat="1" ht="119">
      <c r="B109" s="190"/>
      <c r="C109" s="136"/>
      <c r="D109" s="137">
        <v>25</v>
      </c>
      <c r="E109" s="138"/>
      <c r="F109" s="139" t="s">
        <v>425</v>
      </c>
      <c r="G109" s="140" t="s">
        <v>719</v>
      </c>
      <c r="H109" s="141" t="s">
        <v>409</v>
      </c>
      <c r="I109" s="142"/>
      <c r="J109" s="143"/>
      <c r="K109" s="146"/>
      <c r="L109" s="135"/>
    </row>
    <row r="110" spans="2:12" s="127" customFormat="1">
      <c r="B110" s="190"/>
      <c r="C110" s="153" t="s">
        <v>17</v>
      </c>
      <c r="D110" s="153">
        <v>26</v>
      </c>
      <c r="E110" s="129" t="str">
        <f>VLOOKUP(LEFT(F110,3),Admin!$A$4:$D$113,4,FALSE)</f>
        <v>O</v>
      </c>
      <c r="F110" s="130" t="s">
        <v>301</v>
      </c>
      <c r="G110" s="131"/>
      <c r="H110" s="132"/>
      <c r="I110" s="133" t="str">
        <f ca="1">IF(E110="n/a", "--&gt;N/A",
IF(COUNTIF(OFFSET(I110,1,0,COUNTIF(listReqCredits,D110)-1),"no")&gt;0,"--&gt; No",
IF(COUNTIF(OFFSET(I110,1,0,COUNTIF(listReqCredits,D110)-1),"n/a")=COUNTIF(listReqCredits,D110)-1,"--&gt; N/A",
IF(COUNTIF(OFFSET(I110,1,0,COUNTIF(listReqCredits,D110)-1),"yes")+COUNTIF(OFFSET(I110,1,0,COUNTIF(listReqCredits,D110)-1),"n/a")+COUNTIF(OFFSET(I110,1,0,COUNTIF(listReqCredits,D110)-1),"pending PV")=COUNTIF(listReqCredits,D110)-1,"--&gt; Yes",
IF(COUNTIF(OFFSET(I110,1,0,COUNTIF(listReqCredits,D110)-1),"yes")+COUNTIF(OFFSET(I110,1,0,COUNTIF(listReqCredits,D110)-1),"maybe")+COUNTIF(OFFSET(I110,1,0,COUNTIF(listReqCredits,D110)-1),"n/a")+COUNTIF(OFFSET(I110,1,0,COUNTIF(listReqCredits,D110)-1),"pending pv")=COUNTIF(listReqCredits,D110)-1,"--&gt; Maybe",
"")))))</f>
        <v/>
      </c>
      <c r="J110" s="134"/>
      <c r="L110" s="135"/>
    </row>
    <row r="111" spans="2:12" s="127" customFormat="1" ht="102">
      <c r="B111" s="190"/>
      <c r="C111" s="136"/>
      <c r="D111" s="137">
        <v>26</v>
      </c>
      <c r="E111" s="138"/>
      <c r="F111" s="139" t="s">
        <v>426</v>
      </c>
      <c r="G111" s="140" t="s">
        <v>427</v>
      </c>
      <c r="H111" s="141" t="s">
        <v>41</v>
      </c>
      <c r="I111" s="142"/>
      <c r="J111" s="143"/>
      <c r="L111" s="135"/>
    </row>
    <row r="112" spans="2:12" s="127" customFormat="1" ht="119">
      <c r="B112" s="190"/>
      <c r="C112" s="136"/>
      <c r="D112" s="137">
        <v>26</v>
      </c>
      <c r="E112" s="138"/>
      <c r="F112" s="139" t="s">
        <v>428</v>
      </c>
      <c r="G112" s="140" t="s">
        <v>619</v>
      </c>
      <c r="H112" s="179" t="s">
        <v>938</v>
      </c>
      <c r="I112" s="142"/>
      <c r="J112" s="143"/>
      <c r="L112" s="135"/>
    </row>
    <row r="113" spans="2:12" s="127" customFormat="1">
      <c r="B113" s="190"/>
      <c r="C113" s="153" t="s">
        <v>17</v>
      </c>
      <c r="D113" s="153">
        <v>27</v>
      </c>
      <c r="E113" s="129" t="str">
        <f>VLOOKUP(LEFT(F113,3),Admin!$A$4:$D$113,4,FALSE)</f>
        <v>O</v>
      </c>
      <c r="F113" s="130" t="s">
        <v>822</v>
      </c>
      <c r="G113" s="131"/>
      <c r="H113" s="132"/>
      <c r="I113" s="133" t="str">
        <f ca="1">IF(E113="n/a", "--&gt;N/A",
IF(COUNTIF(OFFSET(I113,1,0,COUNTIF(listReqCredits,D113)-1),"no")&gt;0,"--&gt; No",
IF(COUNTIF(OFFSET(I113,1,0,COUNTIF(listReqCredits,D113)-1),"n/a")=COUNTIF(listReqCredits,D113)-1,"--&gt; N/A",
IF(COUNTIF(OFFSET(I113,1,0,COUNTIF(listReqCredits,D113)-1),"yes")+COUNTIF(OFFSET(I113,1,0,COUNTIF(listReqCredits,D113)-1),"n/a")+COUNTIF(OFFSET(I113,1,0,COUNTIF(listReqCredits,D113)-1),"pending PV")=COUNTIF(listReqCredits,D113)-1,"--&gt; Yes",
IF(COUNTIF(OFFSET(I113,1,0,COUNTIF(listReqCredits,D113)-1),"yes")+COUNTIF(OFFSET(I113,1,0,COUNTIF(listReqCredits,D113)-1),"maybe")+COUNTIF(OFFSET(I113,1,0,COUNTIF(listReqCredits,D113)-1),"n/a")+COUNTIF(OFFSET(I113,1,0,COUNTIF(listReqCredits,D113)-1),"pending pv")=COUNTIF(listReqCredits,D113)-1,"--&gt; Maybe",
"")))))</f>
        <v/>
      </c>
      <c r="J113" s="134"/>
      <c r="L113" s="135"/>
    </row>
    <row r="114" spans="2:12" s="127" customFormat="1" ht="153">
      <c r="B114" s="190"/>
      <c r="C114" s="136"/>
      <c r="D114" s="137">
        <v>27</v>
      </c>
      <c r="E114" s="138"/>
      <c r="F114" s="139" t="s">
        <v>429</v>
      </c>
      <c r="G114" s="140" t="s">
        <v>870</v>
      </c>
      <c r="H114" s="179" t="s">
        <v>938</v>
      </c>
      <c r="I114" s="142"/>
      <c r="J114" s="143"/>
      <c r="L114" s="135"/>
    </row>
    <row r="115" spans="2:12" s="127" customFormat="1" ht="119">
      <c r="B115" s="190"/>
      <c r="C115" s="136"/>
      <c r="D115" s="137">
        <v>27</v>
      </c>
      <c r="E115" s="138"/>
      <c r="F115" s="139" t="s">
        <v>430</v>
      </c>
      <c r="G115" s="140" t="s">
        <v>720</v>
      </c>
      <c r="H115" s="141" t="s">
        <v>395</v>
      </c>
      <c r="I115" s="142"/>
      <c r="J115" s="143"/>
      <c r="L115" s="135"/>
    </row>
    <row r="116" spans="2:12" s="127" customFormat="1">
      <c r="B116" s="190"/>
      <c r="C116" s="153" t="s">
        <v>17</v>
      </c>
      <c r="D116" s="153">
        <v>28</v>
      </c>
      <c r="E116" s="129" t="str">
        <f>VLOOKUP(LEFT(F116,3),Admin!$A$4:$D$113,4,FALSE)</f>
        <v>O</v>
      </c>
      <c r="F116" s="130" t="s">
        <v>823</v>
      </c>
      <c r="G116" s="131"/>
      <c r="H116" s="132"/>
      <c r="I116" s="133" t="str">
        <f ca="1">IF(E116="n/a", "--&gt;N/A",
IF(COUNTIF(OFFSET(I116,1,0,COUNTIF(listReqCredits,D116)-1),"no")&gt;0,"--&gt; No",
IF(COUNTIF(OFFSET(I116,1,0,COUNTIF(listReqCredits,D116)-1),"n/a")=COUNTIF(listReqCredits,D116)-1,"--&gt; N/A",
IF(COUNTIF(OFFSET(I116,1,0,COUNTIF(listReqCredits,D116)-1),"yes")+COUNTIF(OFFSET(I116,1,0,COUNTIF(listReqCredits,D116)-1),"n/a")+COUNTIF(OFFSET(I116,1,0,COUNTIF(listReqCredits,D116)-1),"pending PV")=COUNTIF(listReqCredits,D116)-1,"--&gt; Yes",
IF(COUNTIF(OFFSET(I116,1,0,COUNTIF(listReqCredits,D116)-1),"yes")+COUNTIF(OFFSET(I116,1,0,COUNTIF(listReqCredits,D116)-1),"maybe")+COUNTIF(OFFSET(I116,1,0,COUNTIF(listReqCredits,D116)-1),"n/a")+COUNTIF(OFFSET(I116,1,0,COUNTIF(listReqCredits,D116)-1),"pending pv")=COUNTIF(listReqCredits,D116)-1,"--&gt; Maybe",
"")))))</f>
        <v/>
      </c>
      <c r="J116" s="134"/>
      <c r="K116" s="146"/>
      <c r="L116" s="135"/>
    </row>
    <row r="117" spans="2:12" s="127" customFormat="1" ht="102">
      <c r="B117" s="190"/>
      <c r="C117" s="136"/>
      <c r="D117" s="137">
        <v>28</v>
      </c>
      <c r="E117" s="138"/>
      <c r="F117" s="152" t="s">
        <v>431</v>
      </c>
      <c r="G117" s="140" t="s">
        <v>432</v>
      </c>
      <c r="H117" s="141" t="s">
        <v>409</v>
      </c>
      <c r="I117" s="142"/>
      <c r="J117" s="143"/>
      <c r="K117" s="146"/>
      <c r="L117" s="135"/>
    </row>
    <row r="118" spans="2:12" s="127" customFormat="1">
      <c r="B118" s="190"/>
      <c r="C118" s="153" t="s">
        <v>17</v>
      </c>
      <c r="D118" s="153">
        <v>29</v>
      </c>
      <c r="E118" s="129" t="str">
        <f>VLOOKUP(LEFT(F118,3),Admin!$A$4:$D$113,4,FALSE)</f>
        <v>O</v>
      </c>
      <c r="F118" s="130" t="s">
        <v>302</v>
      </c>
      <c r="G118" s="131"/>
      <c r="H118" s="132"/>
      <c r="I118" s="133" t="str">
        <f ca="1">IF(E118="n/a", "--&gt;N/A",
IF(COUNTIF(OFFSET(I118,1,0,COUNTIF(listReqCredits,D118)-1),"no")&gt;0,"--&gt; No",
IF(COUNTIF(OFFSET(I118,1,0,COUNTIF(listReqCredits,D118)-1),"n/a")=COUNTIF(listReqCredits,D118)-1,"--&gt; N/A",
IF(COUNTIF(OFFSET(I118,1,0,COUNTIF(listReqCredits,D118)-1),"yes")+COUNTIF(OFFSET(I118,1,0,COUNTIF(listReqCredits,D118)-1),"n/a")+COUNTIF(OFFSET(I118,1,0,COUNTIF(listReqCredits,D118)-1),"pending PV")=COUNTIF(listReqCredits,D118)-1,"--&gt; Yes",
IF(COUNTIF(OFFSET(I118,1,0,COUNTIF(listReqCredits,D118)-1),"yes")+COUNTIF(OFFSET(I118,1,0,COUNTIF(listReqCredits,D118)-1),"maybe")+COUNTIF(OFFSET(I118,1,0,COUNTIF(listReqCredits,D118)-1),"n/a")+COUNTIF(OFFSET(I118,1,0,COUNTIF(listReqCredits,D118)-1),"pending pv")=COUNTIF(listReqCredits,D118)-1,"--&gt; Maybe",
"")))))</f>
        <v/>
      </c>
      <c r="J118" s="134"/>
      <c r="K118" s="146"/>
      <c r="L118" s="135"/>
    </row>
    <row r="119" spans="2:12" s="127" customFormat="1" ht="85">
      <c r="B119" s="190"/>
      <c r="C119" s="136"/>
      <c r="D119" s="137">
        <v>29</v>
      </c>
      <c r="E119" s="138"/>
      <c r="F119" s="139" t="s">
        <v>433</v>
      </c>
      <c r="G119" s="140" t="s">
        <v>434</v>
      </c>
      <c r="H119" s="141" t="s">
        <v>41</v>
      </c>
      <c r="I119" s="142"/>
      <c r="J119" s="143"/>
      <c r="K119" s="146"/>
      <c r="L119" s="135"/>
    </row>
    <row r="120" spans="2:12" s="127" customFormat="1" ht="153">
      <c r="B120" s="190"/>
      <c r="C120" s="136"/>
      <c r="D120" s="137">
        <v>29</v>
      </c>
      <c r="E120" s="138"/>
      <c r="F120" s="139" t="s">
        <v>435</v>
      </c>
      <c r="G120" s="179" t="s">
        <v>620</v>
      </c>
      <c r="H120" s="141" t="s">
        <v>41</v>
      </c>
      <c r="I120" s="142"/>
      <c r="J120" s="143"/>
      <c r="K120" s="146"/>
      <c r="L120" s="135"/>
    </row>
    <row r="121" spans="2:12" s="127" customFormat="1">
      <c r="B121" s="190"/>
      <c r="C121" s="153" t="s">
        <v>17</v>
      </c>
      <c r="D121" s="153">
        <v>30</v>
      </c>
      <c r="E121" s="129" t="str">
        <f>VLOOKUP(LEFT(F121,3),Admin!$A$4:$D$113,4,FALSE)</f>
        <v>O</v>
      </c>
      <c r="F121" s="130" t="s">
        <v>764</v>
      </c>
      <c r="G121" s="131"/>
      <c r="H121" s="132"/>
      <c r="I121" s="133" t="str">
        <f ca="1">IF(E121="n/a","--&gt;N/A",
IF(COUNTIF(OFFSET(I121,1,0,COUNTIF(listReqCredits,D121)-1),"yes")&gt;0,"--&gt; Yes",
IF(COUNTIF(OFFSET(I121,1,0,COUNTIF(listReqCredits,D121)-1),"n/a")=COUNTIF(listReqCredits,D121)-1,"--&gt; N/A",
IF(COUNTIF(OFFSET(I121,1,0,COUNTIF(listReqCredits,D121)-1),"maybe")+COUNTIF(OFFSET(I121,1,0,COUNTIF(listReqCredits,D121)-1),"n/a")+COUNTIF(OFFSET(I121,1,0,COUNTIF(listReqCredits,D121)-1),"pending pv")+COUNTIF(OFFSET(I121,1,0,COUNTIF(listReqCredits,D121)-1),"no")=COUNTIF(listReqCredits,D121)-1,"--&gt; Maybe",
IF(COUNTIF(OFFSET(I121,1,0,COUNTIF(listReqCredits,D121)-1),"no")+COUNTIF(OFFSET(I121,1,0,COUNTIF(listReqCredits,D121)-1),"n/a")+COUNTIF(OFFSET(I121,1,0,COUNTIF(listReqCredits,D121)-1),"maybe")+COUNTIF(OFFSET(I121,1,0,COUNTIF(listReqCredits,D121)-1),"pending pv")=COUNTIF(listReqCredits,D121)-1,"--&gt; No",
"")))))</f>
        <v/>
      </c>
      <c r="J121" s="134"/>
      <c r="L121" s="135"/>
    </row>
    <row r="122" spans="2:12" s="127" customFormat="1" ht="85">
      <c r="B122" s="190"/>
      <c r="C122" s="136"/>
      <c r="D122" s="137">
        <v>30</v>
      </c>
      <c r="E122" s="138"/>
      <c r="F122" s="139" t="s">
        <v>436</v>
      </c>
      <c r="G122" s="140" t="s">
        <v>437</v>
      </c>
      <c r="H122" s="141" t="s">
        <v>41</v>
      </c>
      <c r="I122" s="142"/>
      <c r="J122" s="143"/>
      <c r="L122" s="135"/>
    </row>
    <row r="123" spans="2:12" s="127" customFormat="1" ht="85">
      <c r="B123" s="190"/>
      <c r="C123" s="136"/>
      <c r="D123" s="137">
        <v>30</v>
      </c>
      <c r="E123" s="138"/>
      <c r="F123" s="139" t="s">
        <v>438</v>
      </c>
      <c r="G123" s="140" t="s">
        <v>439</v>
      </c>
      <c r="H123" s="141" t="s">
        <v>41</v>
      </c>
      <c r="I123" s="142"/>
      <c r="J123" s="143"/>
      <c r="L123" s="135"/>
    </row>
    <row r="124" spans="2:12" s="127" customFormat="1">
      <c r="B124" s="190"/>
      <c r="C124" s="153" t="s">
        <v>17</v>
      </c>
      <c r="D124" s="153">
        <v>31</v>
      </c>
      <c r="E124" s="129" t="str">
        <f>VLOOKUP(LEFT(F124,3),Admin!$A$4:$D$113,4,FALSE)</f>
        <v>O</v>
      </c>
      <c r="F124" s="130" t="s">
        <v>303</v>
      </c>
      <c r="G124" s="131"/>
      <c r="H124" s="132"/>
      <c r="I124" s="133" t="str">
        <f ca="1">IF(E124="n/a", "--&gt;N/A",
IF(COUNTIF(OFFSET(I124,1,0,COUNTIF(listReqCredits,D124)-1),"no")&gt;0,"--&gt; No",
IF(COUNTIF(OFFSET(I124,1,0,COUNTIF(listReqCredits,D124)-1),"n/a")=COUNTIF(listReqCredits,D124)-1,"--&gt; N/A",
IF(COUNTIF(OFFSET(I124,1,0,COUNTIF(listReqCredits,D124)-1),"yes")+COUNTIF(OFFSET(I124,1,0,COUNTIF(listReqCredits,D124)-1),"n/a")+COUNTIF(OFFSET(I124,1,0,COUNTIF(listReqCredits,D124)-1),"pending PV")=COUNTIF(listReqCredits,D124)-1,"--&gt; Yes",
IF(COUNTIF(OFFSET(I124,1,0,COUNTIF(listReqCredits,D124)-1),"yes")+COUNTIF(OFFSET(I124,1,0,COUNTIF(listReqCredits,D124)-1),"maybe")+COUNTIF(OFFSET(I124,1,0,COUNTIF(listReqCredits,D124)-1),"n/a")+COUNTIF(OFFSET(I124,1,0,COUNTIF(listReqCredits,D124)-1),"pending pv")=COUNTIF(listReqCredits,D124)-1,"--&gt; Maybe",
"")))))</f>
        <v/>
      </c>
      <c r="J124" s="134"/>
      <c r="L124" s="135"/>
    </row>
    <row r="125" spans="2:12" s="127" customFormat="1" ht="102">
      <c r="B125" s="190"/>
      <c r="C125" s="136"/>
      <c r="D125" s="137">
        <v>31</v>
      </c>
      <c r="E125" s="138"/>
      <c r="F125" s="139" t="s">
        <v>440</v>
      </c>
      <c r="G125" s="179" t="s">
        <v>721</v>
      </c>
      <c r="H125" s="141" t="s">
        <v>41</v>
      </c>
      <c r="I125" s="142"/>
      <c r="J125" s="143"/>
      <c r="L125" s="135"/>
    </row>
    <row r="126" spans="2:12" s="127" customFormat="1">
      <c r="B126" s="190"/>
      <c r="C126" s="153" t="s">
        <v>17</v>
      </c>
      <c r="D126" s="153">
        <v>32</v>
      </c>
      <c r="E126" s="129" t="str">
        <f>VLOOKUP(LEFT(F126,3),Admin!$A$4:$D$113,4,FALSE)</f>
        <v>O</v>
      </c>
      <c r="F126" s="130" t="s">
        <v>304</v>
      </c>
      <c r="G126" s="131"/>
      <c r="H126" s="132"/>
      <c r="I126" s="133" t="str">
        <f ca="1">IF(E126="n/a", "--&gt;N/A",
IF(COUNTIF(OFFSET(I126,1,0,COUNTIF(listReqCredits,D126)-1),"no")&gt;0,"--&gt; No",
IF(COUNTIF(OFFSET(I126,1,0,COUNTIF(listReqCredits,D126)-1),"n/a")=COUNTIF(listReqCredits,D126)-1,"--&gt; N/A",
IF(COUNTIF(OFFSET(I126,1,0,COUNTIF(listReqCredits,D126)-1),"yes")+COUNTIF(OFFSET(I126,1,0,COUNTIF(listReqCredits,D126)-1),"n/a")+COUNTIF(OFFSET(I126,1,0,COUNTIF(listReqCredits,D126)-1),"pending PV")=COUNTIF(listReqCredits,D126)-1,"--&gt; Yes",
IF(COUNTIF(OFFSET(I126,1,0,COUNTIF(listReqCredits,D126)-1),"yes")+COUNTIF(OFFSET(I126,1,0,COUNTIF(listReqCredits,D126)-1),"maybe")+COUNTIF(OFFSET(I126,1,0,COUNTIF(listReqCredits,D126)-1),"n/a")+COUNTIF(OFFSET(I126,1,0,COUNTIF(listReqCredits,D126)-1),"pending pv")=COUNTIF(listReqCredits,D126)-1,"--&gt; Maybe",
"")))))</f>
        <v/>
      </c>
      <c r="J126" s="134"/>
      <c r="L126" s="135"/>
    </row>
    <row r="127" spans="2:12" s="127" customFormat="1" ht="102">
      <c r="B127" s="190"/>
      <c r="C127" s="136"/>
      <c r="D127" s="137">
        <v>32</v>
      </c>
      <c r="E127" s="138"/>
      <c r="F127" s="139" t="s">
        <v>441</v>
      </c>
      <c r="G127" s="179" t="s">
        <v>945</v>
      </c>
      <c r="H127" s="141" t="s">
        <v>938</v>
      </c>
      <c r="I127" s="142"/>
      <c r="J127" s="143"/>
      <c r="L127" s="135"/>
    </row>
    <row r="128" spans="2:12" s="127" customFormat="1" ht="221">
      <c r="B128" s="190"/>
      <c r="C128" s="136"/>
      <c r="D128" s="137">
        <v>32</v>
      </c>
      <c r="E128" s="138"/>
      <c r="F128" s="139" t="s">
        <v>442</v>
      </c>
      <c r="G128" s="140" t="s">
        <v>826</v>
      </c>
      <c r="H128" s="141" t="s">
        <v>939</v>
      </c>
      <c r="I128" s="142"/>
      <c r="J128" s="143"/>
      <c r="L128" s="135"/>
    </row>
    <row r="129" spans="2:12" s="127" customFormat="1" ht="15" customHeight="1">
      <c r="B129" s="191" t="s">
        <v>3</v>
      </c>
      <c r="C129" s="154" t="s">
        <v>18</v>
      </c>
      <c r="D129" s="154">
        <v>33</v>
      </c>
      <c r="E129" s="129" t="str">
        <f>VLOOKUP(LEFT(F129,3),Admin!$A$4:$D$113,4,FALSE)</f>
        <v>P</v>
      </c>
      <c r="F129" s="130" t="s">
        <v>305</v>
      </c>
      <c r="G129" s="131"/>
      <c r="H129" s="132"/>
      <c r="I129" s="133" t="str">
        <f ca="1">IF(E129="n/a", "--&gt;N/A",
IF(COUNTIF(OFFSET(I129,1,0,COUNTIF(listReqCredits,D129)-1),"no")&gt;0,"--&gt; No",
IF(COUNTIF(OFFSET(I129,1,0,COUNTIF(listReqCredits,D129)-1),"n/a")=COUNTIF(listReqCredits,D129)-1,"--&gt; N/A",
IF(COUNTIF(OFFSET(I129,1,0,COUNTIF(listReqCredits,D129)-1),"yes")+COUNTIF(OFFSET(I129,1,0,COUNTIF(listReqCredits,D129)-1),"n/a")+COUNTIF(OFFSET(I129,1,0,COUNTIF(listReqCredits,D129)-1),"pending PV")=COUNTIF(listReqCredits,D129)-1,"--&gt; Yes",
IF(COUNTIF(OFFSET(I129,1,0,COUNTIF(listReqCredits,D129)-1),"yes")+COUNTIF(OFFSET(I129,1,0,COUNTIF(listReqCredits,D129)-1),"maybe")+COUNTIF(OFFSET(I129,1,0,COUNTIF(listReqCredits,D129)-1),"n/a")+COUNTIF(OFFSET(I129,1,0,COUNTIF(listReqCredits,D129)-1),"pending pv")=COUNTIF(listReqCredits,D129)-1,"--&gt; Maybe",
"")))))</f>
        <v/>
      </c>
      <c r="J129" s="134"/>
      <c r="L129" s="135"/>
    </row>
    <row r="130" spans="2:12" s="127" customFormat="1" ht="136">
      <c r="B130" s="191"/>
      <c r="C130" s="136"/>
      <c r="D130" s="137">
        <v>33</v>
      </c>
      <c r="E130" s="138"/>
      <c r="F130" s="139" t="s">
        <v>443</v>
      </c>
      <c r="G130" s="140" t="s">
        <v>722</v>
      </c>
      <c r="H130" s="141" t="s">
        <v>409</v>
      </c>
      <c r="I130" s="142"/>
      <c r="J130" s="143"/>
      <c r="L130" s="135"/>
    </row>
    <row r="131" spans="2:12" s="127" customFormat="1" ht="221">
      <c r="B131" s="191"/>
      <c r="C131" s="136"/>
      <c r="D131" s="137">
        <v>33</v>
      </c>
      <c r="E131" s="138"/>
      <c r="F131" s="139" t="s">
        <v>444</v>
      </c>
      <c r="G131" s="140" t="s">
        <v>621</v>
      </c>
      <c r="H131" s="141" t="s">
        <v>409</v>
      </c>
      <c r="I131" s="142"/>
      <c r="J131" s="143"/>
      <c r="L131" s="135"/>
    </row>
    <row r="132" spans="2:12" s="127" customFormat="1">
      <c r="B132" s="191"/>
      <c r="C132" s="154" t="s">
        <v>18</v>
      </c>
      <c r="D132" s="154">
        <f>D129+1</f>
        <v>34</v>
      </c>
      <c r="E132" s="129" t="str">
        <f>VLOOKUP(LEFT(F132,3),Admin!$A$4:$D$113,4,FALSE)</f>
        <v>O</v>
      </c>
      <c r="F132" s="130" t="s">
        <v>306</v>
      </c>
      <c r="G132" s="131"/>
      <c r="H132" s="132"/>
      <c r="I132" s="133" t="str">
        <f ca="1">IF(E132="n/a", "--&gt;N/A",
IF(COUNTIF(OFFSET(I132,1,0,COUNTIF(listReqCredits,D132)-1),"no")&gt;0,"--&gt; No",
IF(COUNTIF(OFFSET(I132,1,0,COUNTIF(listReqCredits,D132)-1),"n/a")=COUNTIF(listReqCredits,D132)-1,"--&gt; N/A",
IF(COUNTIF(OFFSET(I132,1,0,COUNTIF(listReqCredits,D132)-1),"yes")+COUNTIF(OFFSET(I132,1,0,COUNTIF(listReqCredits,D132)-1),"n/a")+COUNTIF(OFFSET(I132,1,0,COUNTIF(listReqCredits,D132)-1),"pending PV")=COUNTIF(listReqCredits,D132)-1,"--&gt; Yes",
IF(COUNTIF(OFFSET(I132,1,0,COUNTIF(listReqCredits,D132)-1),"yes")+COUNTIF(OFFSET(I132,1,0,COUNTIF(listReqCredits,D132)-1),"maybe")+COUNTIF(OFFSET(I132,1,0,COUNTIF(listReqCredits,D132)-1),"n/a")+COUNTIF(OFFSET(I132,1,0,COUNTIF(listReqCredits,D132)-1),"pending pv")=COUNTIF(listReqCredits,D132)-1,"--&gt; Maybe",
"")))))</f>
        <v/>
      </c>
      <c r="J132" s="134"/>
      <c r="L132" s="135"/>
    </row>
    <row r="133" spans="2:12" s="127" customFormat="1" ht="119">
      <c r="B133" s="191"/>
      <c r="C133" s="136"/>
      <c r="D133" s="137">
        <v>34</v>
      </c>
      <c r="E133" s="138"/>
      <c r="F133" s="139" t="s">
        <v>445</v>
      </c>
      <c r="G133" s="140" t="s">
        <v>827</v>
      </c>
      <c r="H133" s="141" t="s">
        <v>395</v>
      </c>
      <c r="I133" s="142"/>
      <c r="J133" s="143"/>
      <c r="L133" s="135"/>
    </row>
    <row r="134" spans="2:12" s="127" customFormat="1">
      <c r="B134" s="191"/>
      <c r="C134" s="154" t="s">
        <v>18</v>
      </c>
      <c r="D134" s="154">
        <v>35</v>
      </c>
      <c r="E134" s="129" t="str">
        <f>VLOOKUP(LEFT(F134,3),Admin!$A$4:$D$113,4,FALSE)</f>
        <v>O</v>
      </c>
      <c r="F134" s="130" t="s">
        <v>307</v>
      </c>
      <c r="G134" s="131"/>
      <c r="H134" s="132"/>
      <c r="I134" s="133" t="str">
        <f ca="1">IF(E134="n/a", "--&gt;N/A",
IF(COUNTIF(OFFSET(I134,1,0,COUNTIF(listReqCredits,D134)-1),"no")&gt;0,"--&gt; No",
IF(COUNTIF(OFFSET(I134,1,0,COUNTIF(listReqCredits,D134)-1),"n/a")=COUNTIF(listReqCredits,D134)-1,"--&gt; N/A",
IF(COUNTIF(OFFSET(I134,1,0,COUNTIF(listReqCredits,D134)-1),"yes")+COUNTIF(OFFSET(I134,1,0,COUNTIF(listReqCredits,D134)-1),"n/a")+COUNTIF(OFFSET(I134,1,0,COUNTIF(listReqCredits,D134)-1),"pending PV")=COUNTIF(listReqCredits,D134)-1,"--&gt; Yes",
IF(COUNTIF(OFFSET(I134,1,0,COUNTIF(listReqCredits,D134)-1),"yes")+COUNTIF(OFFSET(I134,1,0,COUNTIF(listReqCredits,D134)-1),"maybe")+COUNTIF(OFFSET(I134,1,0,COUNTIF(listReqCredits,D134)-1),"n/a")+COUNTIF(OFFSET(I134,1,0,COUNTIF(listReqCredits,D134)-1),"pending pv")=COUNTIF(listReqCredits,D134)-1,"--&gt; Maybe",
"")))))</f>
        <v/>
      </c>
      <c r="J134" s="134"/>
      <c r="L134" s="135"/>
    </row>
    <row r="135" spans="2:12" s="127" customFormat="1" ht="136">
      <c r="B135" s="191"/>
      <c r="C135" s="136"/>
      <c r="D135" s="137">
        <v>35</v>
      </c>
      <c r="E135" s="138"/>
      <c r="F135" s="147" t="s">
        <v>919</v>
      </c>
      <c r="G135" s="140" t="s">
        <v>857</v>
      </c>
      <c r="H135" s="141" t="s">
        <v>409</v>
      </c>
      <c r="I135" s="142"/>
      <c r="J135" s="143"/>
      <c r="L135" s="135"/>
    </row>
    <row r="136" spans="2:12" s="127" customFormat="1" ht="136">
      <c r="B136" s="191"/>
      <c r="C136" s="136"/>
      <c r="D136" s="137">
        <v>35</v>
      </c>
      <c r="E136" s="138"/>
      <c r="F136" s="139" t="s">
        <v>446</v>
      </c>
      <c r="G136" s="140" t="s">
        <v>658</v>
      </c>
      <c r="H136" s="141" t="s">
        <v>409</v>
      </c>
      <c r="I136" s="142"/>
      <c r="J136" s="143"/>
      <c r="L136" s="135"/>
    </row>
    <row r="137" spans="2:12" s="127" customFormat="1">
      <c r="B137" s="191"/>
      <c r="C137" s="154" t="s">
        <v>18</v>
      </c>
      <c r="D137" s="154">
        <v>36</v>
      </c>
      <c r="E137" s="129" t="str">
        <f>VLOOKUP(LEFT(F137,3),Admin!$A$4:$D$113,4,FALSE)</f>
        <v>O</v>
      </c>
      <c r="F137" s="130" t="s">
        <v>308</v>
      </c>
      <c r="G137" s="131"/>
      <c r="H137" s="132"/>
      <c r="I137" s="133" t="str">
        <f ca="1">IF(E137="n/a", "--&gt;N/A",
IF(COUNTIF(OFFSET(I137,1,0,COUNTIF(listReqCredits,D137)-1),"no")&gt;0,"--&gt; No",
IF(COUNTIF(OFFSET(I137,1,0,COUNTIF(listReqCredits,D137)-1),"n/a")=COUNTIF(listReqCredits,D137)-1,"--&gt; N/A",
IF(COUNTIF(OFFSET(I137,1,0,COUNTIF(listReqCredits,D137)-1),"yes")+COUNTIF(OFFSET(I137,1,0,COUNTIF(listReqCredits,D137)-1),"n/a")+COUNTIF(OFFSET(I137,1,0,COUNTIF(listReqCredits,D137)-1),"pending PV")=COUNTIF(listReqCredits,D137)-1,"--&gt; Yes",
IF(COUNTIF(OFFSET(I137,1,0,COUNTIF(listReqCredits,D137)-1),"yes")+COUNTIF(OFFSET(I137,1,0,COUNTIF(listReqCredits,D137)-1),"maybe")+COUNTIF(OFFSET(I137,1,0,COUNTIF(listReqCredits,D137)-1),"n/a")+COUNTIF(OFFSET(I137,1,0,COUNTIF(listReqCredits,D137)-1),"pending pv")=COUNTIF(listReqCredits,D137)-1,"--&gt; Maybe",
"")))))</f>
        <v/>
      </c>
      <c r="J137" s="134"/>
      <c r="L137" s="135"/>
    </row>
    <row r="138" spans="2:12" s="127" customFormat="1" ht="102">
      <c r="B138" s="191"/>
      <c r="C138" s="136"/>
      <c r="D138" s="137">
        <v>36</v>
      </c>
      <c r="E138" s="138"/>
      <c r="F138" s="139" t="s">
        <v>447</v>
      </c>
      <c r="G138" s="140" t="s">
        <v>622</v>
      </c>
      <c r="H138" s="141" t="s">
        <v>409</v>
      </c>
      <c r="I138" s="142"/>
      <c r="J138" s="143"/>
      <c r="L138" s="135"/>
    </row>
    <row r="139" spans="2:12" s="127" customFormat="1" ht="102">
      <c r="B139" s="191"/>
      <c r="C139" s="136"/>
      <c r="D139" s="137">
        <v>36</v>
      </c>
      <c r="E139" s="138"/>
      <c r="F139" s="139" t="s">
        <v>448</v>
      </c>
      <c r="G139" s="140" t="s">
        <v>723</v>
      </c>
      <c r="H139" s="141" t="s">
        <v>409</v>
      </c>
      <c r="I139" s="142"/>
      <c r="J139" s="143"/>
      <c r="L139" s="135"/>
    </row>
    <row r="140" spans="2:12" s="127" customFormat="1" ht="85">
      <c r="B140" s="191"/>
      <c r="C140" s="136"/>
      <c r="D140" s="137">
        <v>36</v>
      </c>
      <c r="E140" s="138"/>
      <c r="F140" s="139" t="s">
        <v>449</v>
      </c>
      <c r="G140" s="140" t="s">
        <v>623</v>
      </c>
      <c r="H140" s="141" t="s">
        <v>409</v>
      </c>
      <c r="I140" s="142"/>
      <c r="J140" s="143"/>
      <c r="L140" s="135"/>
    </row>
    <row r="141" spans="2:12" s="127" customFormat="1">
      <c r="B141" s="191"/>
      <c r="C141" s="154" t="s">
        <v>18</v>
      </c>
      <c r="D141" s="154">
        <v>37</v>
      </c>
      <c r="E141" s="129" t="str">
        <f>VLOOKUP(LEFT(F141,3),Admin!$A$4:$D$113,4,FALSE)</f>
        <v>O</v>
      </c>
      <c r="F141" s="130" t="s">
        <v>765</v>
      </c>
      <c r="G141" s="131"/>
      <c r="H141" s="132"/>
      <c r="I141" s="133" t="str">
        <f ca="1">IF(E141="n/a","--&gt;N/A",
IF(COUNTIF(OFFSET(I141,1,0,COUNTIF(listReqCredits,D141)-1),"yes")&gt;0,"--&gt; Yes",
IF(COUNTIF(OFFSET(I141,1,0,COUNTIF(listReqCredits,D141)-1),"n/a")=COUNTIF(listReqCredits,D141)-1,"--&gt; N/A",
IF(COUNTIF(OFFSET(I141,1,0,COUNTIF(listReqCredits,D141)-1),"maybe")+COUNTIF(OFFSET(I141,1,0,COUNTIF(listReqCredits,D141)-1),"n/a")+COUNTIF(OFFSET(I141,1,0,COUNTIF(listReqCredits,D141)-1),"pending pv")+COUNTIF(OFFSET(I141,1,0,COUNTIF(listReqCredits,D141)-1),"no")=COUNTIF(listReqCredits,D141)-1,"--&gt; Maybe",
IF(COUNTIF(OFFSET(I141,1,0,COUNTIF(listReqCredits,D141)-1),"no")+COUNTIF(OFFSET(I141,1,0,COUNTIF(listReqCredits,D141)-1),"n/a")+COUNTIF(OFFSET(I141,1,0,COUNTIF(listReqCredits,D141)-1),"maybe")+COUNTIF(OFFSET(I141,1,0,COUNTIF(listReqCredits,D141)-1),"pending pv")=COUNTIF(listReqCredits,D141)-1,"--&gt; No",
"")))))</f>
        <v/>
      </c>
      <c r="J141" s="134"/>
      <c r="K141" s="146"/>
      <c r="L141" s="135"/>
    </row>
    <row r="142" spans="2:12" s="127" customFormat="1" ht="119">
      <c r="B142" s="191"/>
      <c r="C142" s="136"/>
      <c r="D142" s="137">
        <v>37</v>
      </c>
      <c r="E142" s="138"/>
      <c r="F142" s="139" t="s">
        <v>450</v>
      </c>
      <c r="G142" s="140" t="s">
        <v>647</v>
      </c>
      <c r="H142" s="141" t="s">
        <v>409</v>
      </c>
      <c r="I142" s="142"/>
      <c r="J142" s="143"/>
      <c r="K142" s="146"/>
      <c r="L142" s="135"/>
    </row>
    <row r="143" spans="2:12" s="127" customFormat="1" ht="102">
      <c r="B143" s="191"/>
      <c r="C143" s="136"/>
      <c r="D143" s="137">
        <v>37</v>
      </c>
      <c r="E143" s="138"/>
      <c r="F143" s="139" t="s">
        <v>451</v>
      </c>
      <c r="G143" s="140" t="s">
        <v>624</v>
      </c>
      <c r="H143" s="141" t="s">
        <v>409</v>
      </c>
      <c r="I143" s="142"/>
      <c r="J143" s="143"/>
      <c r="K143" s="146"/>
      <c r="L143" s="135"/>
    </row>
    <row r="144" spans="2:12" s="127" customFormat="1">
      <c r="B144" s="191"/>
      <c r="C144" s="154" t="s">
        <v>18</v>
      </c>
      <c r="D144" s="154">
        <v>38</v>
      </c>
      <c r="E144" s="129" t="str">
        <f>VLOOKUP(LEFT(F144,3),Admin!$A$4:$D$113,4,FALSE)</f>
        <v>O</v>
      </c>
      <c r="F144" s="130" t="s">
        <v>309</v>
      </c>
      <c r="G144" s="131"/>
      <c r="H144" s="132"/>
      <c r="I144" s="133" t="str">
        <f ca="1">IF(E144="n/a", "--&gt;N/A",
IF(COUNTIF(OFFSET(I144,1,0,COUNTIF(listReqCredits,D144)-1),"no")&gt;0,"--&gt; No",
IF(COUNTIF(OFFSET(I144,1,0,COUNTIF(listReqCredits,D144)-1),"n/a")=COUNTIF(listReqCredits,D144)-1,"--&gt; N/A",
IF(COUNTIF(OFFSET(I144,1,0,COUNTIF(listReqCredits,D144)-1),"yes")+COUNTIF(OFFSET(I144,1,0,COUNTIF(listReqCredits,D144)-1),"n/a")+COUNTIF(OFFSET(I144,1,0,COUNTIF(listReqCredits,D144)-1),"pending PV")=COUNTIF(listReqCredits,D144)-1,"--&gt; Yes",
IF(COUNTIF(OFFSET(I144,1,0,COUNTIF(listReqCredits,D144)-1),"yes")+COUNTIF(OFFSET(I144,1,0,COUNTIF(listReqCredits,D144)-1),"maybe")+COUNTIF(OFFSET(I144,1,0,COUNTIF(listReqCredits,D144)-1),"n/a")+COUNTIF(OFFSET(I144,1,0,COUNTIF(listReqCredits,D144)-1),"pending pv")=COUNTIF(listReqCredits,D144)-1,"--&gt; Maybe",
"")))))</f>
        <v/>
      </c>
      <c r="J144" s="134"/>
      <c r="L144" s="135"/>
    </row>
    <row r="145" spans="2:12" s="127" customFormat="1" ht="68">
      <c r="B145" s="191"/>
      <c r="C145" s="136"/>
      <c r="D145" s="137">
        <v>38</v>
      </c>
      <c r="E145" s="138"/>
      <c r="F145" s="139" t="s">
        <v>452</v>
      </c>
      <c r="G145" s="140" t="s">
        <v>625</v>
      </c>
      <c r="H145" s="141" t="s">
        <v>595</v>
      </c>
      <c r="I145" s="142"/>
      <c r="J145" s="143"/>
      <c r="L145" s="135"/>
    </row>
    <row r="146" spans="2:12" s="127" customFormat="1" ht="68">
      <c r="B146" s="191"/>
      <c r="C146" s="136"/>
      <c r="D146" s="137">
        <v>38</v>
      </c>
      <c r="E146" s="138"/>
      <c r="F146" s="139" t="s">
        <v>453</v>
      </c>
      <c r="G146" s="140" t="s">
        <v>648</v>
      </c>
      <c r="H146" s="141" t="s">
        <v>595</v>
      </c>
      <c r="I146" s="142"/>
      <c r="J146" s="143"/>
      <c r="L146" s="135"/>
    </row>
    <row r="147" spans="2:12" s="127" customFormat="1" ht="85">
      <c r="B147" s="191"/>
      <c r="C147" s="136"/>
      <c r="D147" s="137">
        <v>38</v>
      </c>
      <c r="E147" s="138"/>
      <c r="F147" s="139" t="s">
        <v>454</v>
      </c>
      <c r="G147" s="140" t="s">
        <v>828</v>
      </c>
      <c r="H147" s="141" t="s">
        <v>595</v>
      </c>
      <c r="I147" s="142"/>
      <c r="J147" s="143"/>
      <c r="L147" s="135"/>
    </row>
    <row r="148" spans="2:12" s="127" customFormat="1" ht="141">
      <c r="B148" s="191"/>
      <c r="C148" s="136"/>
      <c r="D148" s="137">
        <v>38</v>
      </c>
      <c r="E148" s="138"/>
      <c r="F148" s="139" t="s">
        <v>455</v>
      </c>
      <c r="G148" s="140" t="s">
        <v>871</v>
      </c>
      <c r="H148" s="141" t="s">
        <v>595</v>
      </c>
      <c r="I148" s="142"/>
      <c r="J148" s="143"/>
      <c r="L148" s="135"/>
    </row>
    <row r="149" spans="2:12" s="127" customFormat="1" ht="102">
      <c r="B149" s="191"/>
      <c r="C149" s="136"/>
      <c r="D149" s="137">
        <v>38</v>
      </c>
      <c r="E149" s="138"/>
      <c r="F149" s="139" t="s">
        <v>456</v>
      </c>
      <c r="G149" s="179" t="s">
        <v>920</v>
      </c>
      <c r="H149" s="141" t="s">
        <v>595</v>
      </c>
      <c r="I149" s="142"/>
      <c r="J149" s="143"/>
      <c r="L149" s="135"/>
    </row>
    <row r="150" spans="2:12" s="127" customFormat="1">
      <c r="B150" s="191"/>
      <c r="C150" s="154" t="s">
        <v>18</v>
      </c>
      <c r="D150" s="154">
        <v>39</v>
      </c>
      <c r="E150" s="129" t="str">
        <f>VLOOKUP(LEFT(F150,3),Admin!$A$4:$D$113,4,FALSE)</f>
        <v>O</v>
      </c>
      <c r="F150" s="130" t="s">
        <v>310</v>
      </c>
      <c r="G150" s="131"/>
      <c r="H150" s="132"/>
      <c r="I150" s="133" t="str">
        <f ca="1">IF(E150="n/a", "--&gt;N/A",
IF(COUNTIF(OFFSET(I150,1,0,COUNTIF(listReqCredits,D150)-1),"no")&gt;0,"--&gt; No",
IF(COUNTIF(OFFSET(I150,1,0,COUNTIF(listReqCredits,D150)-1),"n/a")=COUNTIF(listReqCredits,D150)-1,"--&gt; N/A",
IF(COUNTIF(OFFSET(I150,1,0,COUNTIF(listReqCredits,D150)-1),"yes")+COUNTIF(OFFSET(I150,1,0,COUNTIF(listReqCredits,D150)-1),"n/a")+COUNTIF(OFFSET(I150,1,0,COUNTIF(listReqCredits,D150)-1),"pending PV")=COUNTIF(listReqCredits,D150)-1,"--&gt; Yes",
IF(COUNTIF(OFFSET(I150,1,0,COUNTIF(listReqCredits,D150)-1),"yes")+COUNTIF(OFFSET(I150,1,0,COUNTIF(listReqCredits,D150)-1),"maybe")+COUNTIF(OFFSET(I150,1,0,COUNTIF(listReqCredits,D150)-1),"n/a")+COUNTIF(OFFSET(I150,1,0,COUNTIF(listReqCredits,D150)-1),"pending pv")=COUNTIF(listReqCredits,D150)-1,"--&gt; Maybe",
"")))))</f>
        <v/>
      </c>
      <c r="J150" s="134"/>
      <c r="L150" s="135"/>
    </row>
    <row r="151" spans="2:12" s="127" customFormat="1" ht="119">
      <c r="B151" s="191"/>
      <c r="C151" s="136"/>
      <c r="D151" s="137">
        <v>39</v>
      </c>
      <c r="E151" s="138"/>
      <c r="F151" s="139" t="s">
        <v>457</v>
      </c>
      <c r="G151" s="179" t="s">
        <v>950</v>
      </c>
      <c r="H151" s="141" t="s">
        <v>409</v>
      </c>
      <c r="I151" s="142"/>
      <c r="J151" s="143"/>
      <c r="L151" s="135"/>
    </row>
    <row r="152" spans="2:12" s="127" customFormat="1" ht="119">
      <c r="B152" s="191"/>
      <c r="C152" s="136"/>
      <c r="D152" s="137">
        <v>39</v>
      </c>
      <c r="E152" s="138"/>
      <c r="F152" s="139" t="s">
        <v>458</v>
      </c>
      <c r="G152" s="179" t="s">
        <v>921</v>
      </c>
      <c r="H152" s="141" t="s">
        <v>409</v>
      </c>
      <c r="I152" s="142"/>
      <c r="J152" s="143"/>
      <c r="L152" s="135"/>
    </row>
    <row r="153" spans="2:12" s="127" customFormat="1" ht="102">
      <c r="B153" s="191"/>
      <c r="C153" s="136"/>
      <c r="D153" s="137">
        <v>39</v>
      </c>
      <c r="E153" s="138"/>
      <c r="F153" s="139" t="s">
        <v>459</v>
      </c>
      <c r="G153" s="140" t="s">
        <v>829</v>
      </c>
      <c r="H153" s="141" t="s">
        <v>409</v>
      </c>
      <c r="I153" s="142"/>
      <c r="J153" s="143"/>
      <c r="L153" s="135"/>
    </row>
    <row r="154" spans="2:12" s="127" customFormat="1">
      <c r="B154" s="191"/>
      <c r="C154" s="154" t="s">
        <v>18</v>
      </c>
      <c r="D154" s="154">
        <v>40</v>
      </c>
      <c r="E154" s="129" t="str">
        <f>VLOOKUP(LEFT(F154,3),Admin!$A$4:$D$113,4,FALSE)</f>
        <v>O</v>
      </c>
      <c r="F154" s="130" t="s">
        <v>311</v>
      </c>
      <c r="G154" s="131"/>
      <c r="H154" s="132"/>
      <c r="I154" s="133" t="str">
        <f ca="1">IF(E154="n/a", "--&gt;N/A",
IF(COUNTIF(OFFSET(I154,1,0,COUNTIF(listReqCredits,D154)-1),"no")&gt;0,"--&gt; No",
IF(COUNTIF(OFFSET(I154,1,0,COUNTIF(listReqCredits,D154)-1),"n/a")=COUNTIF(listReqCredits,D154)-1,"--&gt; N/A",
IF(COUNTIF(OFFSET(I154,1,0,COUNTIF(listReqCredits,D154)-1),"yes")+COUNTIF(OFFSET(I154,1,0,COUNTIF(listReqCredits,D154)-1),"n/a")+COUNTIF(OFFSET(I154,1,0,COUNTIF(listReqCredits,D154)-1),"pending PV")=COUNTIF(listReqCredits,D154)-1,"--&gt; Yes",
IF(COUNTIF(OFFSET(I154,1,0,COUNTIF(listReqCredits,D154)-1),"yes")+COUNTIF(OFFSET(I154,1,0,COUNTIF(listReqCredits,D154)-1),"maybe")+COUNTIF(OFFSET(I154,1,0,COUNTIF(listReqCredits,D154)-1),"n/a")+COUNTIF(OFFSET(I154,1,0,COUNTIF(listReqCredits,D154)-1),"pending pv")=COUNTIF(listReqCredits,D154)-1,"--&gt; Maybe",
"")))))</f>
        <v/>
      </c>
      <c r="J154" s="134"/>
      <c r="L154" s="135"/>
    </row>
    <row r="155" spans="2:12" s="127" customFormat="1" ht="136">
      <c r="B155" s="191"/>
      <c r="C155" s="136"/>
      <c r="D155" s="137">
        <v>40</v>
      </c>
      <c r="E155" s="138"/>
      <c r="F155" s="139" t="s">
        <v>460</v>
      </c>
      <c r="G155" s="140" t="s">
        <v>649</v>
      </c>
      <c r="H155" s="141" t="s">
        <v>409</v>
      </c>
      <c r="I155" s="142"/>
      <c r="J155" s="143"/>
      <c r="L155" s="135"/>
    </row>
    <row r="156" spans="2:12" s="127" customFormat="1">
      <c r="B156" s="191"/>
      <c r="C156" s="154" t="s">
        <v>18</v>
      </c>
      <c r="D156" s="154">
        <v>41</v>
      </c>
      <c r="E156" s="129" t="str">
        <f>VLOOKUP(LEFT(F156,3),Admin!$A$4:$D$113,4,FALSE)</f>
        <v>O</v>
      </c>
      <c r="F156" s="130" t="s">
        <v>312</v>
      </c>
      <c r="G156" s="131"/>
      <c r="H156" s="132"/>
      <c r="I156" s="133" t="str">
        <f ca="1">IF(E156="n/a", "--&gt;N/A",
IF(COUNTIF(OFFSET(I156,1,0,COUNTIF(listReqCredits,D156)-1),"no")&gt;0,"--&gt; No",
IF(COUNTIF(OFFSET(I156,1,0,COUNTIF(listReqCredits,D156)-1),"n/a")=COUNTIF(listReqCredits,D156)-1,"--&gt; N/A",
IF(COUNTIF(OFFSET(I156,1,0,COUNTIF(listReqCredits,D156)-1),"yes")+COUNTIF(OFFSET(I156,1,0,COUNTIF(listReqCredits,D156)-1),"n/a")+COUNTIF(OFFSET(I156,1,0,COUNTIF(listReqCredits,D156)-1),"pending PV")=COUNTIF(listReqCredits,D156)-1,"--&gt; Yes",
IF(COUNTIF(OFFSET(I156,1,0,COUNTIF(listReqCredits,D156)-1),"yes")+COUNTIF(OFFSET(I156,1,0,COUNTIF(listReqCredits,D156)-1),"maybe")+COUNTIF(OFFSET(I156,1,0,COUNTIF(listReqCredits,D156)-1),"n/a")+COUNTIF(OFFSET(I156,1,0,COUNTIF(listReqCredits,D156)-1),"pending pv")=COUNTIF(listReqCredits,D156)-1,"--&gt; Maybe",
"")))))</f>
        <v/>
      </c>
      <c r="J156" s="134"/>
      <c r="L156" s="135"/>
    </row>
    <row r="157" spans="2:12" s="127" customFormat="1" ht="119">
      <c r="B157" s="191"/>
      <c r="C157" s="136"/>
      <c r="D157" s="137">
        <v>41</v>
      </c>
      <c r="E157" s="138"/>
      <c r="F157" s="139" t="s">
        <v>461</v>
      </c>
      <c r="G157" s="140" t="s">
        <v>724</v>
      </c>
      <c r="H157" s="141" t="s">
        <v>872</v>
      </c>
      <c r="I157" s="142"/>
      <c r="J157" s="143"/>
      <c r="L157" s="135"/>
    </row>
    <row r="158" spans="2:12" s="127" customFormat="1" ht="153">
      <c r="B158" s="191"/>
      <c r="C158" s="136"/>
      <c r="D158" s="137">
        <v>41</v>
      </c>
      <c r="E158" s="138"/>
      <c r="F158" s="139" t="s">
        <v>462</v>
      </c>
      <c r="G158" s="140" t="s">
        <v>725</v>
      </c>
      <c r="H158" s="141" t="s">
        <v>872</v>
      </c>
      <c r="I158" s="142"/>
      <c r="J158" s="143"/>
      <c r="L158" s="135"/>
    </row>
    <row r="159" spans="2:12" s="127" customFormat="1" ht="102">
      <c r="B159" s="191"/>
      <c r="C159" s="136"/>
      <c r="D159" s="137">
        <v>41</v>
      </c>
      <c r="E159" s="138"/>
      <c r="F159" s="139" t="s">
        <v>463</v>
      </c>
      <c r="G159" s="140" t="s">
        <v>650</v>
      </c>
      <c r="H159" s="141" t="s">
        <v>872</v>
      </c>
      <c r="I159" s="142"/>
      <c r="J159" s="143"/>
      <c r="L159" s="135"/>
    </row>
    <row r="160" spans="2:12" s="127" customFormat="1" ht="15" customHeight="1">
      <c r="B160" s="192" t="s">
        <v>959</v>
      </c>
      <c r="C160" s="155" t="s">
        <v>19</v>
      </c>
      <c r="D160" s="155">
        <v>42</v>
      </c>
      <c r="E160" s="129" t="str">
        <f>VLOOKUP(LEFT(F160,3),Admin!$A$4:$D$113,4,FALSE)</f>
        <v>P</v>
      </c>
      <c r="F160" s="130" t="s">
        <v>313</v>
      </c>
      <c r="G160" s="131"/>
      <c r="H160" s="132"/>
      <c r="I160" s="133" t="str">
        <f ca="1">IF(E160="n/a", "--&gt;N/A",
IF(COUNTIF(OFFSET(I160,1,0,COUNTIF(listReqCredits,D160)-1),"no")&gt;0,"--&gt; No",
IF(COUNTIF(OFFSET(I160,1,0,COUNTIF(listReqCredits,D160)-1),"n/a")=COUNTIF(listReqCredits,D160)-1,"--&gt; N/A",
IF(COUNTIF(OFFSET(I160,1,0,COUNTIF(listReqCredits,D160)-1),"yes")+COUNTIF(OFFSET(I160,1,0,COUNTIF(listReqCredits,D160)-1),"n/a")+COUNTIF(OFFSET(I160,1,0,COUNTIF(listReqCredits,D160)-1),"pending PV")=COUNTIF(listReqCredits,D160)-1,"--&gt; Yes",
IF(COUNTIF(OFFSET(I160,1,0,COUNTIF(listReqCredits,D160)-1),"yes")+COUNTIF(OFFSET(I160,1,0,COUNTIF(listReqCredits,D160)-1),"maybe")+COUNTIF(OFFSET(I160,1,0,COUNTIF(listReqCredits,D160)-1),"n/a")+COUNTIF(OFFSET(I160,1,0,COUNTIF(listReqCredits,D160)-1),"pending pv")=COUNTIF(listReqCredits,D160)-1,"--&gt; Maybe",
"")))))</f>
        <v/>
      </c>
      <c r="J160" s="156"/>
    </row>
    <row r="161" spans="2:12" s="127" customFormat="1" ht="136">
      <c r="B161" s="193"/>
      <c r="C161" s="136"/>
      <c r="D161" s="137">
        <v>42</v>
      </c>
      <c r="E161" s="138"/>
      <c r="F161" s="139" t="s">
        <v>464</v>
      </c>
      <c r="G161" s="140" t="s">
        <v>830</v>
      </c>
      <c r="H161" s="141" t="s">
        <v>938</v>
      </c>
      <c r="I161" s="142"/>
      <c r="J161" s="143"/>
    </row>
    <row r="162" spans="2:12" s="127" customFormat="1">
      <c r="B162" s="193"/>
      <c r="C162" s="155" t="s">
        <v>19</v>
      </c>
      <c r="D162" s="155">
        <v>43</v>
      </c>
      <c r="E162" s="129" t="str">
        <f>VLOOKUP(LEFT(F162,3),Admin!$A$4:$D$113,4,FALSE)</f>
        <v>O</v>
      </c>
      <c r="F162" s="130" t="s">
        <v>707</v>
      </c>
      <c r="G162" s="131"/>
      <c r="H162" s="132"/>
      <c r="I162" s="133" t="str">
        <f ca="1">IF(E162="n/a", "--&gt;N/A",
IF(COUNTIF(OFFSET(I162,1,0,COUNTIF(listReqCredits,D162)-1),"no")&gt;0,"--&gt; No",
IF(COUNTIF(OFFSET(I162,1,0,COUNTIF(listReqCredits,D162)-1),"n/a")=COUNTIF(listReqCredits,D162)-1,"--&gt; N/A",
IF(COUNTIF(OFFSET(I162,1,0,COUNTIF(listReqCredits,D162)-1),"yes")+COUNTIF(OFFSET(I162,1,0,COUNTIF(listReqCredits,D162)-1),"n/a")+COUNTIF(OFFSET(I162,1,0,COUNTIF(listReqCredits,D162)-1),"pending PV")=COUNTIF(listReqCredits,D162)-1,"--&gt; Yes",
IF(COUNTIF(OFFSET(I162,1,0,COUNTIF(listReqCredits,D162)-1),"yes")+COUNTIF(OFFSET(I162,1,0,COUNTIF(listReqCredits,D162)-1),"maybe")+COUNTIF(OFFSET(I162,1,0,COUNTIF(listReqCredits,D162)-1),"n/a")+COUNTIF(OFFSET(I162,1,0,COUNTIF(listReqCredits,D162)-1),"pending pv")=COUNTIF(listReqCredits,D162)-1,"--&gt; Maybe",
"")))))</f>
        <v/>
      </c>
      <c r="J162" s="134"/>
      <c r="L162" s="135"/>
    </row>
    <row r="163" spans="2:12" s="127" customFormat="1" ht="170">
      <c r="B163" s="193"/>
      <c r="C163" s="136"/>
      <c r="D163" s="137">
        <v>43</v>
      </c>
      <c r="E163" s="138"/>
      <c r="F163" s="139" t="s">
        <v>465</v>
      </c>
      <c r="G163" s="140" t="s">
        <v>651</v>
      </c>
      <c r="H163" s="141" t="s">
        <v>409</v>
      </c>
      <c r="I163" s="142"/>
      <c r="J163" s="143"/>
      <c r="L163" s="135"/>
    </row>
    <row r="164" spans="2:12" s="127" customFormat="1" ht="119">
      <c r="B164" s="193"/>
      <c r="C164" s="136"/>
      <c r="D164" s="137">
        <v>43</v>
      </c>
      <c r="E164" s="138"/>
      <c r="F164" s="139" t="s">
        <v>466</v>
      </c>
      <c r="G164" s="140" t="s">
        <v>858</v>
      </c>
      <c r="H164" s="141" t="s">
        <v>409</v>
      </c>
      <c r="I164" s="142"/>
      <c r="J164" s="143"/>
      <c r="L164" s="135"/>
    </row>
    <row r="165" spans="2:12" s="127" customFormat="1">
      <c r="B165" s="193"/>
      <c r="C165" s="155" t="s">
        <v>19</v>
      </c>
      <c r="D165" s="155">
        <v>44</v>
      </c>
      <c r="E165" s="129" t="str">
        <f>VLOOKUP(LEFT(F165,3),Admin!$A$4:$D$113,4,FALSE)</f>
        <v>O</v>
      </c>
      <c r="F165" s="130" t="s">
        <v>314</v>
      </c>
      <c r="G165" s="131"/>
      <c r="H165" s="132"/>
      <c r="I165" s="133" t="str">
        <f ca="1">IF(E165="n/a", "--&gt;N/A",
IF(COUNTIF(OFFSET(I165,1,0,COUNTIF(listReqCredits,D165)-1),"no")&gt;0,"--&gt; No",
IF(COUNTIF(OFFSET(I165,1,0,COUNTIF(listReqCredits,D165)-1),"n/a")=COUNTIF(listReqCredits,D165)-1,"--&gt; N/A",
IF(COUNTIF(OFFSET(I165,1,0,COUNTIF(listReqCredits,D165)-1),"yes")+COUNTIF(OFFSET(I165,1,0,COUNTIF(listReqCredits,D165)-1),"n/a")+COUNTIF(OFFSET(I165,1,0,COUNTIF(listReqCredits,D165)-1),"pending PV")=COUNTIF(listReqCredits,D165)-1,"--&gt; Yes",
IF(COUNTIF(OFFSET(I165,1,0,COUNTIF(listReqCredits,D165)-1),"yes")+COUNTIF(OFFSET(I165,1,0,COUNTIF(listReqCredits,D165)-1),"maybe")+COUNTIF(OFFSET(I165,1,0,COUNTIF(listReqCredits,D165)-1),"n/a")+COUNTIF(OFFSET(I165,1,0,COUNTIF(listReqCredits,D165)-1),"pending pv")=COUNTIF(listReqCredits,D165)-1,"--&gt; Maybe",
"")))))</f>
        <v/>
      </c>
      <c r="J165" s="134"/>
      <c r="K165" s="146"/>
      <c r="L165" s="135"/>
    </row>
    <row r="166" spans="2:12" s="127" customFormat="1" ht="119">
      <c r="B166" s="193"/>
      <c r="C166" s="136"/>
      <c r="D166" s="137">
        <v>44</v>
      </c>
      <c r="E166" s="138"/>
      <c r="F166" s="139" t="s">
        <v>467</v>
      </c>
      <c r="G166" s="140" t="s">
        <v>873</v>
      </c>
      <c r="H166" s="141" t="s">
        <v>938</v>
      </c>
      <c r="I166" s="142"/>
      <c r="J166" s="143"/>
      <c r="K166" s="146"/>
      <c r="L166" s="135"/>
    </row>
    <row r="167" spans="2:12" s="127" customFormat="1" ht="68">
      <c r="B167" s="193"/>
      <c r="C167" s="136"/>
      <c r="D167" s="137">
        <v>44</v>
      </c>
      <c r="E167" s="138"/>
      <c r="F167" s="139" t="s">
        <v>468</v>
      </c>
      <c r="G167" s="140" t="s">
        <v>659</v>
      </c>
      <c r="H167" s="141" t="s">
        <v>938</v>
      </c>
      <c r="I167" s="142"/>
      <c r="J167" s="143"/>
      <c r="K167" s="146"/>
      <c r="L167" s="135"/>
    </row>
    <row r="168" spans="2:12" s="127" customFormat="1" ht="102">
      <c r="B168" s="193"/>
      <c r="C168" s="136"/>
      <c r="D168" s="137">
        <v>44</v>
      </c>
      <c r="E168" s="138"/>
      <c r="F168" s="139" t="s">
        <v>469</v>
      </c>
      <c r="G168" s="140" t="s">
        <v>652</v>
      </c>
      <c r="H168" s="141" t="s">
        <v>932</v>
      </c>
      <c r="I168" s="142"/>
      <c r="J168" s="143"/>
      <c r="K168" s="146"/>
      <c r="L168" s="135"/>
    </row>
    <row r="169" spans="2:12" s="127" customFormat="1" ht="136">
      <c r="B169" s="193"/>
      <c r="C169" s="136"/>
      <c r="D169" s="137">
        <v>44</v>
      </c>
      <c r="E169" s="138"/>
      <c r="F169" s="139" t="s">
        <v>470</v>
      </c>
      <c r="G169" s="140" t="s">
        <v>653</v>
      </c>
      <c r="H169" s="141" t="s">
        <v>41</v>
      </c>
      <c r="I169" s="142"/>
      <c r="J169" s="143"/>
      <c r="K169" s="146"/>
      <c r="L169" s="135"/>
    </row>
    <row r="170" spans="2:12" s="127" customFormat="1">
      <c r="B170" s="193"/>
      <c r="C170" s="155" t="s">
        <v>19</v>
      </c>
      <c r="D170" s="155">
        <v>45</v>
      </c>
      <c r="E170" s="129" t="str">
        <f>VLOOKUP(LEFT(F170,3),Admin!$A$4:$D$113,4,FALSE)</f>
        <v>O</v>
      </c>
      <c r="F170" s="130" t="s">
        <v>315</v>
      </c>
      <c r="G170" s="131"/>
      <c r="H170" s="132"/>
      <c r="I170" s="133" t="str">
        <f ca="1">IF(E170="n/a", "--&gt;N/A",
IF(COUNTIF(OFFSET(I170,1,0,COUNTIF(listReqCredits,D170)-1),"no")&gt;0,"--&gt; No",
IF(COUNTIF(OFFSET(I170,1,0,COUNTIF(listReqCredits,D170)-1),"n/a")=COUNTIF(listReqCredits,D170)-1,"--&gt; N/A",
IF(COUNTIF(OFFSET(I170,1,0,COUNTIF(listReqCredits,D170)-1),"yes")+COUNTIF(OFFSET(I170,1,0,COUNTIF(listReqCredits,D170)-1),"n/a")+COUNTIF(OFFSET(I170,1,0,COUNTIF(listReqCredits,D170)-1),"pending PV")=COUNTIF(listReqCredits,D170)-1,"--&gt; Yes",
IF(COUNTIF(OFFSET(I170,1,0,COUNTIF(listReqCredits,D170)-1),"yes")+COUNTIF(OFFSET(I170,1,0,COUNTIF(listReqCredits,D170)-1),"maybe")+COUNTIF(OFFSET(I170,1,0,COUNTIF(listReqCredits,D170)-1),"n/a")+COUNTIF(OFFSET(I170,1,0,COUNTIF(listReqCredits,D170)-1),"pending pv")=COUNTIF(listReqCredits,D170)-1,"--&gt; Maybe",
"")))))</f>
        <v/>
      </c>
      <c r="J170" s="134"/>
      <c r="L170" s="135"/>
    </row>
    <row r="171" spans="2:12" s="127" customFormat="1" ht="153">
      <c r="B171" s="193"/>
      <c r="C171" s="136"/>
      <c r="D171" s="137">
        <v>45</v>
      </c>
      <c r="E171" s="138"/>
      <c r="F171" s="139" t="s">
        <v>471</v>
      </c>
      <c r="G171" s="140" t="s">
        <v>726</v>
      </c>
      <c r="H171" s="141" t="s">
        <v>596</v>
      </c>
      <c r="I171" s="142"/>
      <c r="J171" s="143"/>
      <c r="L171" s="135"/>
    </row>
    <row r="172" spans="2:12" s="127" customFormat="1" ht="85">
      <c r="B172" s="193"/>
      <c r="C172" s="136"/>
      <c r="D172" s="137">
        <v>45</v>
      </c>
      <c r="E172" s="138"/>
      <c r="F172" s="139" t="s">
        <v>472</v>
      </c>
      <c r="G172" s="140" t="s">
        <v>660</v>
      </c>
      <c r="H172" s="141" t="s">
        <v>938</v>
      </c>
      <c r="I172" s="142"/>
      <c r="J172" s="143"/>
      <c r="L172" s="135"/>
    </row>
    <row r="173" spans="2:12" s="127" customFormat="1" ht="136">
      <c r="B173" s="193"/>
      <c r="C173" s="136"/>
      <c r="D173" s="137">
        <v>45</v>
      </c>
      <c r="E173" s="138"/>
      <c r="F173" s="139" t="s">
        <v>473</v>
      </c>
      <c r="G173" s="140" t="s">
        <v>727</v>
      </c>
      <c r="H173" s="141" t="s">
        <v>938</v>
      </c>
      <c r="I173" s="142"/>
      <c r="J173" s="143"/>
      <c r="L173" s="135"/>
    </row>
    <row r="174" spans="2:12" s="127" customFormat="1">
      <c r="B174" s="193"/>
      <c r="C174" s="155" t="s">
        <v>19</v>
      </c>
      <c r="D174" s="155">
        <v>46</v>
      </c>
      <c r="E174" s="129" t="str">
        <f>VLOOKUP(LEFT(F174,3),Admin!$A$4:$D$113,4,FALSE)</f>
        <v>O</v>
      </c>
      <c r="F174" s="130" t="s">
        <v>316</v>
      </c>
      <c r="G174" s="131"/>
      <c r="H174" s="132"/>
      <c r="I174" s="133" t="str">
        <f ca="1">IF(E174="n/a", "--&gt;N/A",
IF(COUNTIF(OFFSET(I174,1,0,COUNTIF(listReqCredits,D174)-1),"no")&gt;0,"--&gt; No",
IF(COUNTIF(OFFSET(I174,1,0,COUNTIF(listReqCredits,D174)-1),"n/a")=COUNTIF(listReqCredits,D174)-1,"--&gt; N/A",
IF(COUNTIF(OFFSET(I174,1,0,COUNTIF(listReqCredits,D174)-1),"yes")+COUNTIF(OFFSET(I174,1,0,COUNTIF(listReqCredits,D174)-1),"n/a")+COUNTIF(OFFSET(I174,1,0,COUNTIF(listReqCredits,D174)-1),"pending PV")=COUNTIF(listReqCredits,D174)-1,"--&gt; Yes",
IF(COUNTIF(OFFSET(I174,1,0,COUNTIF(listReqCredits,D174)-1),"yes")+COUNTIF(OFFSET(I174,1,0,COUNTIF(listReqCredits,D174)-1),"maybe")+COUNTIF(OFFSET(I174,1,0,COUNTIF(listReqCredits,D174)-1),"n/a")+COUNTIF(OFFSET(I174,1,0,COUNTIF(listReqCredits,D174)-1),"pending pv")=COUNTIF(listReqCredits,D174)-1,"--&gt; Maybe",
"")))))</f>
        <v/>
      </c>
      <c r="J174" s="134"/>
      <c r="L174" s="135"/>
    </row>
    <row r="175" spans="2:12" s="127" customFormat="1" ht="119">
      <c r="B175" s="193"/>
      <c r="C175" s="136"/>
      <c r="D175" s="137">
        <v>46</v>
      </c>
      <c r="E175" s="138"/>
      <c r="F175" s="139" t="s">
        <v>474</v>
      </c>
      <c r="G175" s="179" t="s">
        <v>922</v>
      </c>
      <c r="H175" s="141" t="s">
        <v>934</v>
      </c>
      <c r="I175" s="142"/>
      <c r="J175" s="143"/>
      <c r="L175" s="135"/>
    </row>
    <row r="176" spans="2:12" s="127" customFormat="1">
      <c r="B176" s="193"/>
      <c r="C176" s="155" t="s">
        <v>19</v>
      </c>
      <c r="D176" s="155">
        <v>47</v>
      </c>
      <c r="E176" s="129" t="str">
        <f>VLOOKUP(LEFT(F176,3),Admin!$A$4:$D$113,4,FALSE)</f>
        <v>O</v>
      </c>
      <c r="F176" s="130" t="s">
        <v>317</v>
      </c>
      <c r="G176" s="131"/>
      <c r="H176" s="132"/>
      <c r="I176" s="133" t="str">
        <f ca="1">IF(E176="n/a", "--&gt;N/A",
IF(COUNTIF(OFFSET(I176,1,0,COUNTIF(listReqCredits,D176)-1),"no")&gt;0,"--&gt; No",
IF(COUNTIF(OFFSET(I176,1,0,COUNTIF(listReqCredits,D176)-1),"n/a")=COUNTIF(listReqCredits,D176)-1,"--&gt; N/A",
IF(COUNTIF(OFFSET(I176,1,0,COUNTIF(listReqCredits,D176)-1),"yes")+COUNTIF(OFFSET(I176,1,0,COUNTIF(listReqCredits,D176)-1),"n/a")+COUNTIF(OFFSET(I176,1,0,COUNTIF(listReqCredits,D176)-1),"pending PV")=COUNTIF(listReqCredits,D176)-1,"--&gt; Yes",
IF(COUNTIF(OFFSET(I176,1,0,COUNTIF(listReqCredits,D176)-1),"yes")+COUNTIF(OFFSET(I176,1,0,COUNTIF(listReqCredits,D176)-1),"maybe")+COUNTIF(OFFSET(I176,1,0,COUNTIF(listReqCredits,D176)-1),"n/a")+COUNTIF(OFFSET(I176,1,0,COUNTIF(listReqCredits,D176)-1),"pending pv")=COUNTIF(listReqCredits,D176)-1,"--&gt; Maybe",
"")))))</f>
        <v/>
      </c>
      <c r="J176" s="134"/>
      <c r="K176" s="146"/>
      <c r="L176" s="135"/>
    </row>
    <row r="177" spans="2:12" s="127" customFormat="1" ht="204">
      <c r="B177" s="193"/>
      <c r="C177" s="136"/>
      <c r="D177" s="137">
        <v>47</v>
      </c>
      <c r="E177" s="138"/>
      <c r="F177" s="139" t="s">
        <v>475</v>
      </c>
      <c r="G177" s="140" t="s">
        <v>728</v>
      </c>
      <c r="H177" s="141" t="s">
        <v>939</v>
      </c>
      <c r="I177" s="142"/>
      <c r="J177" s="143"/>
      <c r="K177" s="146"/>
      <c r="L177" s="135"/>
    </row>
    <row r="178" spans="2:12" s="127" customFormat="1" ht="102">
      <c r="B178" s="193"/>
      <c r="C178" s="136"/>
      <c r="D178" s="137">
        <v>47</v>
      </c>
      <c r="E178" s="138"/>
      <c r="F178" s="139" t="s">
        <v>476</v>
      </c>
      <c r="G178" s="140" t="s">
        <v>654</v>
      </c>
      <c r="H178" s="141" t="s">
        <v>938</v>
      </c>
      <c r="I178" s="142"/>
      <c r="J178" s="143"/>
      <c r="K178" s="146"/>
      <c r="L178" s="135"/>
    </row>
    <row r="179" spans="2:12" s="127" customFormat="1" ht="136">
      <c r="B179" s="193"/>
      <c r="C179" s="136"/>
      <c r="D179" s="137">
        <v>47</v>
      </c>
      <c r="E179" s="138"/>
      <c r="F179" s="139" t="s">
        <v>886</v>
      </c>
      <c r="G179" s="140" t="s">
        <v>831</v>
      </c>
      <c r="H179" s="141" t="s">
        <v>41</v>
      </c>
      <c r="I179" s="142"/>
      <c r="J179" s="143"/>
      <c r="K179" s="146"/>
      <c r="L179" s="135"/>
    </row>
    <row r="180" spans="2:12" s="127" customFormat="1">
      <c r="B180" s="193"/>
      <c r="C180" s="155" t="s">
        <v>19</v>
      </c>
      <c r="D180" s="155">
        <v>48</v>
      </c>
      <c r="E180" s="129" t="str">
        <f>VLOOKUP(LEFT(F180,3),Admin!$A$4:$D$113,4,FALSE)</f>
        <v>O</v>
      </c>
      <c r="F180" s="130" t="s">
        <v>597</v>
      </c>
      <c r="G180" s="131"/>
      <c r="H180" s="132"/>
      <c r="I180" s="133" t="str">
        <f ca="1">IF(E180="n/a","--&gt;N/A",
IF(COUNTIF(OFFSET(I180,1,0,COUNTIF(listReqCredits,D180)-1),"yes")&gt;0,"--&gt; Yes",
IF(COUNTIF(OFFSET(I180,1,0,COUNTIF(listReqCredits,D180)-1),"n/a")=COUNTIF(listReqCredits,D180)-1,"--&gt; N/A",
IF(COUNTIF(OFFSET(I180,1,0,COUNTIF(listReqCredits,D180)-1),"maybe")+COUNTIF(OFFSET(I180,1,0,COUNTIF(listReqCredits,D180)-1),"n/a")+COUNTIF(OFFSET(I180,1,0,COUNTIF(listReqCredits,D180)-1),"pending pv")+COUNTIF(OFFSET(I180,1,0,COUNTIF(listReqCredits,D180)-1),"no")=COUNTIF(listReqCredits,D180)-1,"--&gt; Maybe",
IF(COUNTIF(OFFSET(I180,1,0,COUNTIF(listReqCredits,D180)-1),"no")+COUNTIF(OFFSET(I180,1,0,COUNTIF(listReqCredits,D180)-1),"n/a")+COUNTIF(OFFSET(I180,1,0,COUNTIF(listReqCredits,D180)-1),"maybe")+COUNTIF(OFFSET(I180,1,0,COUNTIF(listReqCredits,D180)-1),"pending pv")=COUNTIF(listReqCredits,D180)-1,"--&gt; No",
"")))))</f>
        <v/>
      </c>
      <c r="J180" s="134"/>
      <c r="L180" s="135"/>
    </row>
    <row r="181" spans="2:12" s="127" customFormat="1" ht="153">
      <c r="B181" s="193"/>
      <c r="C181" s="136"/>
      <c r="D181" s="137">
        <v>48</v>
      </c>
      <c r="E181" s="138"/>
      <c r="F181" s="139" t="s">
        <v>477</v>
      </c>
      <c r="G181" s="179" t="s">
        <v>931</v>
      </c>
      <c r="H181" s="141" t="s">
        <v>938</v>
      </c>
      <c r="I181" s="142"/>
      <c r="J181" s="143"/>
      <c r="L181" s="135"/>
    </row>
    <row r="182" spans="2:12" s="127" customFormat="1" ht="102">
      <c r="B182" s="193"/>
      <c r="C182" s="136"/>
      <c r="D182" s="137">
        <v>48</v>
      </c>
      <c r="E182" s="138"/>
      <c r="F182" s="139" t="s">
        <v>478</v>
      </c>
      <c r="G182" s="140" t="s">
        <v>729</v>
      </c>
      <c r="H182" s="141" t="s">
        <v>41</v>
      </c>
      <c r="I182" s="142"/>
      <c r="J182" s="143"/>
      <c r="L182" s="135"/>
    </row>
    <row r="183" spans="2:12" s="127" customFormat="1" ht="153">
      <c r="B183" s="193"/>
      <c r="C183" s="136"/>
      <c r="D183" s="137">
        <v>48</v>
      </c>
      <c r="E183" s="138"/>
      <c r="F183" s="139" t="s">
        <v>881</v>
      </c>
      <c r="G183" s="140" t="s">
        <v>832</v>
      </c>
      <c r="H183" s="141" t="s">
        <v>940</v>
      </c>
      <c r="I183" s="142"/>
      <c r="J183" s="143"/>
      <c r="L183" s="135"/>
    </row>
    <row r="184" spans="2:12" s="127" customFormat="1">
      <c r="B184" s="193"/>
      <c r="C184" s="155" t="s">
        <v>19</v>
      </c>
      <c r="D184" s="155">
        <v>49</v>
      </c>
      <c r="E184" s="129" t="str">
        <f>VLOOKUP(LEFT(F184,3),Admin!$A$4:$D$113,4,FALSE)</f>
        <v>O</v>
      </c>
      <c r="F184" s="130" t="s">
        <v>318</v>
      </c>
      <c r="G184" s="131"/>
      <c r="H184" s="132"/>
      <c r="I184" s="133" t="str">
        <f ca="1">IF(E184="n/a", "--&gt;N/A",
IF(COUNTIF(OFFSET(I184,1,0,COUNTIF(listReqCredits,D184)-1),"no")&gt;0,"--&gt; No",
IF(COUNTIF(OFFSET(I184,1,0,COUNTIF(listReqCredits,D184)-1),"n/a")=COUNTIF(listReqCredits,D184)-1,"--&gt; N/A",
IF(COUNTIF(OFFSET(I184,1,0,COUNTIF(listReqCredits,D184)-1),"yes")+COUNTIF(OFFSET(I184,1,0,COUNTIF(listReqCredits,D184)-1),"n/a")+COUNTIF(OFFSET(I184,1,0,COUNTIF(listReqCredits,D184)-1),"pending PV")=COUNTIF(listReqCredits,D184)-1,"--&gt; Yes",
IF(COUNTIF(OFFSET(I184,1,0,COUNTIF(listReqCredits,D184)-1),"yes")+COUNTIF(OFFSET(I184,1,0,COUNTIF(listReqCredits,D184)-1),"maybe")+COUNTIF(OFFSET(I184,1,0,COUNTIF(listReqCredits,D184)-1),"n/a")+COUNTIF(OFFSET(I184,1,0,COUNTIF(listReqCredits,D184)-1),"pending pv")=COUNTIF(listReqCredits,D184)-1,"--&gt; Maybe",
"")))))</f>
        <v/>
      </c>
      <c r="J184" s="134"/>
      <c r="L184" s="135"/>
    </row>
    <row r="185" spans="2:12" s="127" customFormat="1" ht="119">
      <c r="B185" s="193"/>
      <c r="C185" s="136"/>
      <c r="D185" s="137">
        <v>49</v>
      </c>
      <c r="E185" s="138"/>
      <c r="F185" s="139" t="s">
        <v>479</v>
      </c>
      <c r="G185" s="140" t="s">
        <v>655</v>
      </c>
      <c r="H185" s="141" t="s">
        <v>936</v>
      </c>
      <c r="I185" s="142"/>
      <c r="J185" s="143"/>
      <c r="L185" s="135"/>
    </row>
    <row r="186" spans="2:12" s="127" customFormat="1">
      <c r="B186" s="193"/>
      <c r="C186" s="155" t="s">
        <v>19</v>
      </c>
      <c r="D186" s="155">
        <v>50</v>
      </c>
      <c r="E186" s="129" t="str">
        <f>VLOOKUP(LEFT(F186,3),Admin!$A$4:$D$113,4,FALSE)</f>
        <v>O</v>
      </c>
      <c r="F186" s="130" t="s">
        <v>319</v>
      </c>
      <c r="G186" s="131"/>
      <c r="H186" s="132"/>
      <c r="I186" s="133" t="str">
        <f ca="1">IF(E186="n/a", "--&gt;N/A",
IF(COUNTIF(OFFSET(I186,1,0,COUNTIF(listReqCredits,D186)-1),"no")&gt;0,"--&gt; No",
IF(COUNTIF(OFFSET(I186,1,0,COUNTIF(listReqCredits,D186)-1),"n/a")=COUNTIF(listReqCredits,D186)-1,"--&gt; N/A",
IF(COUNTIF(OFFSET(I186,1,0,COUNTIF(listReqCredits,D186)-1),"yes")+COUNTIF(OFFSET(I186,1,0,COUNTIF(listReqCredits,D186)-1),"n/a")+COUNTIF(OFFSET(I186,1,0,COUNTIF(listReqCredits,D186)-1),"pending PV")=COUNTIF(listReqCredits,D186)-1,"--&gt; Yes",
IF(COUNTIF(OFFSET(I186,1,0,COUNTIF(listReqCredits,D186)-1),"yes")+COUNTIF(OFFSET(I186,1,0,COUNTIF(listReqCredits,D186)-1),"maybe")+COUNTIF(OFFSET(I186,1,0,COUNTIF(listReqCredits,D186)-1),"n/a")+COUNTIF(OFFSET(I186,1,0,COUNTIF(listReqCredits,D186)-1),"pending pv")=COUNTIF(listReqCredits,D186)-1,"--&gt; Maybe",
"")))))</f>
        <v/>
      </c>
      <c r="J186" s="134"/>
      <c r="L186" s="135"/>
    </row>
    <row r="187" spans="2:12" s="127" customFormat="1" ht="119">
      <c r="B187" s="193"/>
      <c r="C187" s="136"/>
      <c r="D187" s="137">
        <v>50</v>
      </c>
      <c r="E187" s="138"/>
      <c r="F187" s="139" t="s">
        <v>480</v>
      </c>
      <c r="G187" s="179" t="s">
        <v>923</v>
      </c>
      <c r="H187" s="141" t="s">
        <v>938</v>
      </c>
      <c r="I187" s="142"/>
      <c r="J187" s="143"/>
      <c r="L187" s="135"/>
    </row>
    <row r="188" spans="2:12" s="127" customFormat="1" ht="136">
      <c r="B188" s="193"/>
      <c r="C188" s="136"/>
      <c r="D188" s="137">
        <v>50</v>
      </c>
      <c r="E188" s="138"/>
      <c r="F188" s="139" t="s">
        <v>481</v>
      </c>
      <c r="G188" s="140" t="s">
        <v>730</v>
      </c>
      <c r="H188" s="141" t="s">
        <v>41</v>
      </c>
      <c r="I188" s="142"/>
      <c r="J188" s="143"/>
      <c r="L188" s="135"/>
    </row>
    <row r="189" spans="2:12" s="127" customFormat="1">
      <c r="B189" s="193"/>
      <c r="C189" s="155" t="s">
        <v>19</v>
      </c>
      <c r="D189" s="155">
        <v>51</v>
      </c>
      <c r="E189" s="129" t="str">
        <f>VLOOKUP(LEFT(F189,3),Admin!$A$4:$D$113,4,FALSE)</f>
        <v>O</v>
      </c>
      <c r="F189" s="130" t="s">
        <v>320</v>
      </c>
      <c r="G189" s="131"/>
      <c r="H189" s="132"/>
      <c r="I189" s="133" t="str">
        <f ca="1">IF(E189="n/a", "--&gt;N/A",
IF(COUNTIF(OFFSET(I189,1,0,COUNTIF(listReqCredits,D189)-1),"no")&gt;0,"--&gt; No",
IF(COUNTIF(OFFSET(I189,1,0,COUNTIF(listReqCredits,D189)-1),"n/a")=COUNTIF(listReqCredits,D189)-1,"--&gt; N/A",
IF(COUNTIF(OFFSET(I189,1,0,COUNTIF(listReqCredits,D189)-1),"yes")+COUNTIF(OFFSET(I189,1,0,COUNTIF(listReqCredits,D189)-1),"n/a")+COUNTIF(OFFSET(I189,1,0,COUNTIF(listReqCredits,D189)-1),"pending PV")=COUNTIF(listReqCredits,D189)-1,"--&gt; Yes",
IF(COUNTIF(OFFSET(I189,1,0,COUNTIF(listReqCredits,D189)-1),"yes")+COUNTIF(OFFSET(I189,1,0,COUNTIF(listReqCredits,D189)-1),"maybe")+COUNTIF(OFFSET(I189,1,0,COUNTIF(listReqCredits,D189)-1),"n/a")+COUNTIF(OFFSET(I189,1,0,COUNTIF(listReqCredits,D189)-1),"pending pv")=COUNTIF(listReqCredits,D189)-1,"--&gt; Maybe",
"")))))</f>
        <v/>
      </c>
      <c r="J189" s="134"/>
      <c r="L189" s="135"/>
    </row>
    <row r="190" spans="2:12" s="127" customFormat="1" ht="187">
      <c r="B190" s="193"/>
      <c r="C190" s="136"/>
      <c r="D190" s="137">
        <v>51</v>
      </c>
      <c r="E190" s="138"/>
      <c r="F190" s="139" t="s">
        <v>482</v>
      </c>
      <c r="G190" s="179" t="s">
        <v>948</v>
      </c>
      <c r="H190" s="141" t="s">
        <v>938</v>
      </c>
      <c r="I190" s="142"/>
      <c r="J190" s="143"/>
      <c r="L190" s="135"/>
    </row>
    <row r="191" spans="2:12" s="127" customFormat="1">
      <c r="B191" s="193"/>
      <c r="C191" s="155" t="s">
        <v>19</v>
      </c>
      <c r="D191" s="155">
        <v>52</v>
      </c>
      <c r="E191" s="129" t="str">
        <f>VLOOKUP(LEFT(F191,3),Admin!$A$4:$D$113,4,FALSE)</f>
        <v>O</v>
      </c>
      <c r="F191" s="130" t="s">
        <v>321</v>
      </c>
      <c r="G191" s="131"/>
      <c r="H191" s="132"/>
      <c r="I191" s="133" t="str">
        <f ca="1">IF(E191="n/a", "--&gt;N/A",
IF(COUNTIF(OFFSET(I191,1,0,COUNTIF(listReqCredits,D191)-1),"no")&gt;0,"--&gt; No",
IF(COUNTIF(OFFSET(I191,1,0,COUNTIF(listReqCredits,D191)-1),"n/a")=COUNTIF(listReqCredits,D191)-1,"--&gt; N/A",
IF(COUNTIF(OFFSET(I191,1,0,COUNTIF(listReqCredits,D191)-1),"yes")+COUNTIF(OFFSET(I191,1,0,COUNTIF(listReqCredits,D191)-1),"n/a")+COUNTIF(OFFSET(I191,1,0,COUNTIF(listReqCredits,D191)-1),"pending PV")=COUNTIF(listReqCredits,D191)-1,"--&gt; Yes",
IF(COUNTIF(OFFSET(I191,1,0,COUNTIF(listReqCredits,D191)-1),"yes")+COUNTIF(OFFSET(I191,1,0,COUNTIF(listReqCredits,D191)-1),"maybe")+COUNTIF(OFFSET(I191,1,0,COUNTIF(listReqCredits,D191)-1),"n/a")+COUNTIF(OFFSET(I191,1,0,COUNTIF(listReqCredits,D191)-1),"pending pv")=COUNTIF(listReqCredits,D191)-1,"--&gt; Maybe",
"")))))</f>
        <v/>
      </c>
      <c r="J191" s="134"/>
      <c r="L191" s="135"/>
    </row>
    <row r="192" spans="2:12" s="127" customFormat="1" ht="102">
      <c r="B192" s="193"/>
      <c r="C192" s="136"/>
      <c r="D192" s="137">
        <v>52</v>
      </c>
      <c r="E192" s="138"/>
      <c r="F192" s="139" t="s">
        <v>483</v>
      </c>
      <c r="G192" s="179" t="s">
        <v>949</v>
      </c>
      <c r="H192" s="141" t="s">
        <v>41</v>
      </c>
      <c r="I192" s="142"/>
      <c r="J192" s="143"/>
      <c r="L192" s="135"/>
    </row>
    <row r="193" spans="2:12" s="127" customFormat="1" ht="153">
      <c r="B193" s="193"/>
      <c r="C193" s="136"/>
      <c r="D193" s="137">
        <v>52</v>
      </c>
      <c r="E193" s="138"/>
      <c r="F193" s="139" t="s">
        <v>484</v>
      </c>
      <c r="G193" s="140" t="s">
        <v>656</v>
      </c>
      <c r="H193" s="141" t="s">
        <v>938</v>
      </c>
      <c r="I193" s="142"/>
      <c r="J193" s="143"/>
      <c r="L193" s="135"/>
    </row>
    <row r="194" spans="2:12" s="127" customFormat="1">
      <c r="B194" s="193"/>
      <c r="C194" s="155" t="s">
        <v>19</v>
      </c>
      <c r="D194" s="155">
        <v>53</v>
      </c>
      <c r="E194" s="129" t="str">
        <f>VLOOKUP(LEFT(F194,3),Admin!$A$4:$D$113,4,FALSE)</f>
        <v>O</v>
      </c>
      <c r="F194" s="130" t="s">
        <v>322</v>
      </c>
      <c r="G194" s="131"/>
      <c r="H194" s="132"/>
      <c r="I194" s="133" t="str">
        <f ca="1">IF(E194="n/a", "--&gt;N/A",
IF(COUNTIF(OFFSET(I194,1,0,COUNTIF(listReqCredits,D194)-1),"no")&gt;0,"--&gt; No",
IF(COUNTIF(OFFSET(I194,1,0,COUNTIF(listReqCredits,D194)-1),"n/a")=COUNTIF(listReqCredits,D194)-1,"--&gt; N/A",
IF(COUNTIF(OFFSET(I194,1,0,COUNTIF(listReqCredits,D194)-1),"yes")+COUNTIF(OFFSET(I194,1,0,COUNTIF(listReqCredits,D194)-1),"n/a")+COUNTIF(OFFSET(I194,1,0,COUNTIF(listReqCredits,D194)-1),"pending PV")=COUNTIF(listReqCredits,D194)-1,"--&gt; Yes",
IF(COUNTIF(OFFSET(I194,1,0,COUNTIF(listReqCredits,D194)-1),"yes")+COUNTIF(OFFSET(I194,1,0,COUNTIF(listReqCredits,D194)-1),"maybe")+COUNTIF(OFFSET(I194,1,0,COUNTIF(listReqCredits,D194)-1),"n/a")+COUNTIF(OFFSET(I194,1,0,COUNTIF(listReqCredits,D194)-1),"pending pv")=COUNTIF(listReqCredits,D194)-1,"--&gt; Maybe",
"")))))</f>
        <v/>
      </c>
      <c r="J194" s="134"/>
      <c r="K194" s="146"/>
      <c r="L194" s="135"/>
    </row>
    <row r="195" spans="2:12" s="127" customFormat="1" ht="136">
      <c r="B195" s="193"/>
      <c r="C195" s="136"/>
      <c r="D195" s="137">
        <v>53</v>
      </c>
      <c r="E195" s="138"/>
      <c r="F195" s="139" t="s">
        <v>485</v>
      </c>
      <c r="G195" s="140" t="s">
        <v>731</v>
      </c>
      <c r="H195" s="141" t="s">
        <v>409</v>
      </c>
      <c r="I195" s="142"/>
      <c r="J195" s="143"/>
      <c r="K195" s="146"/>
      <c r="L195" s="135"/>
    </row>
    <row r="196" spans="2:12" s="127" customFormat="1" ht="136">
      <c r="B196" s="193"/>
      <c r="C196" s="136"/>
      <c r="D196" s="137">
        <v>53</v>
      </c>
      <c r="E196" s="138"/>
      <c r="F196" s="139" t="s">
        <v>486</v>
      </c>
      <c r="G196" s="140" t="s">
        <v>767</v>
      </c>
      <c r="H196" s="141" t="s">
        <v>938</v>
      </c>
      <c r="I196" s="142"/>
      <c r="J196" s="143"/>
      <c r="K196" s="146"/>
      <c r="L196" s="135"/>
    </row>
    <row r="197" spans="2:12" s="127" customFormat="1">
      <c r="B197" s="193"/>
      <c r="C197" s="155" t="s">
        <v>19</v>
      </c>
      <c r="D197" s="155">
        <v>54</v>
      </c>
      <c r="E197" s="129" t="str">
        <f>VLOOKUP(LEFT(F197,3),Admin!$A$4:$D$113,4,FALSE)</f>
        <v>O</v>
      </c>
      <c r="F197" s="130" t="s">
        <v>323</v>
      </c>
      <c r="G197" s="131"/>
      <c r="H197" s="132"/>
      <c r="I197" s="133" t="str">
        <f ca="1">IF(E197="n/a", "--&gt;N/A",
IF(COUNTIF(OFFSET(I197,1,0,COUNTIF(listReqCredits,D197)-1),"no")&gt;0,"--&gt; No",
IF(COUNTIF(OFFSET(I197,1,0,COUNTIF(listReqCredits,D197)-1),"n/a")=COUNTIF(listReqCredits,D197)-1,"--&gt; N/A",
IF(COUNTIF(OFFSET(I197,1,0,COUNTIF(listReqCredits,D197)-1),"yes")+COUNTIF(OFFSET(I197,1,0,COUNTIF(listReqCredits,D197)-1),"n/a")+COUNTIF(OFFSET(I197,1,0,COUNTIF(listReqCredits,D197)-1),"pending PV")=COUNTIF(listReqCredits,D197)-1,"--&gt; Yes",
IF(COUNTIF(OFFSET(I197,1,0,COUNTIF(listReqCredits,D197)-1),"yes")+COUNTIF(OFFSET(I197,1,0,COUNTIF(listReqCredits,D197)-1),"maybe")+COUNTIF(OFFSET(I197,1,0,COUNTIF(listReqCredits,D197)-1),"n/a")+COUNTIF(OFFSET(I197,1,0,COUNTIF(listReqCredits,D197)-1),"pending pv")=COUNTIF(listReqCredits,D197)-1,"--&gt; Maybe",
"")))))</f>
        <v/>
      </c>
      <c r="J197" s="134"/>
      <c r="K197" s="146"/>
      <c r="L197" s="135"/>
    </row>
    <row r="198" spans="2:12" s="127" customFormat="1" ht="204">
      <c r="B198" s="193"/>
      <c r="C198" s="136"/>
      <c r="D198" s="137">
        <v>54</v>
      </c>
      <c r="E198" s="138"/>
      <c r="F198" s="139" t="s">
        <v>487</v>
      </c>
      <c r="G198" s="151" t="s">
        <v>833</v>
      </c>
      <c r="H198" s="141" t="s">
        <v>938</v>
      </c>
      <c r="I198" s="142"/>
      <c r="J198" s="143"/>
      <c r="K198" s="146"/>
      <c r="L198" s="135"/>
    </row>
    <row r="199" spans="2:12" s="127" customFormat="1" ht="136">
      <c r="B199" s="193"/>
      <c r="C199" s="136"/>
      <c r="D199" s="137">
        <v>54</v>
      </c>
      <c r="E199" s="138"/>
      <c r="F199" s="139" t="s">
        <v>488</v>
      </c>
      <c r="G199" s="179" t="s">
        <v>960</v>
      </c>
      <c r="H199" s="141" t="s">
        <v>938</v>
      </c>
      <c r="I199" s="142"/>
      <c r="J199" s="143"/>
      <c r="K199" s="146"/>
      <c r="L199" s="135"/>
    </row>
    <row r="200" spans="2:12" s="127" customFormat="1">
      <c r="B200" s="193"/>
      <c r="C200" s="155" t="s">
        <v>19</v>
      </c>
      <c r="D200" s="155">
        <v>55</v>
      </c>
      <c r="E200" s="129" t="str">
        <f>VLOOKUP(LEFT(F200,3),Admin!$A$4:$D$113,4,FALSE)</f>
        <v>O</v>
      </c>
      <c r="F200" s="130" t="s">
        <v>324</v>
      </c>
      <c r="G200" s="131"/>
      <c r="H200" s="132"/>
      <c r="I200" s="133" t="str">
        <f ca="1">IF(E200="n/a", "--&gt;N/A",
IF(COUNTIF(OFFSET(I200,1,0,COUNTIF(listReqCredits,D200)-1),"no")&gt;0,"--&gt; No",
IF(COUNTIF(OFFSET(I200,1,0,COUNTIF(listReqCredits,D200)-1),"n/a")=COUNTIF(listReqCredits,D200)-1,"--&gt; N/A",
IF(COUNTIF(OFFSET(I200,1,0,COUNTIF(listReqCredits,D200)-1),"yes")+COUNTIF(OFFSET(I200,1,0,COUNTIF(listReqCredits,D200)-1),"n/a")+COUNTIF(OFFSET(I200,1,0,COUNTIF(listReqCredits,D200)-1),"pending PV")=COUNTIF(listReqCredits,D200)-1,"--&gt; Yes",
IF(COUNTIF(OFFSET(I200,1,0,COUNTIF(listReqCredits,D200)-1),"yes")+COUNTIF(OFFSET(I200,1,0,COUNTIF(listReqCredits,D200)-1),"maybe")+COUNTIF(OFFSET(I200,1,0,COUNTIF(listReqCredits,D200)-1),"n/a")+COUNTIF(OFFSET(I200,1,0,COUNTIF(listReqCredits,D200)-1),"pending pv")=COUNTIF(listReqCredits,D200)-1,"--&gt; Maybe",
"")))))</f>
        <v/>
      </c>
      <c r="J200" s="134"/>
      <c r="L200" s="135"/>
    </row>
    <row r="201" spans="2:12" s="127" customFormat="1" ht="153">
      <c r="B201" s="193"/>
      <c r="C201" s="136"/>
      <c r="D201" s="137">
        <v>55</v>
      </c>
      <c r="E201" s="138"/>
      <c r="F201" s="139" t="s">
        <v>489</v>
      </c>
      <c r="G201" s="140" t="s">
        <v>732</v>
      </c>
      <c r="H201" s="141" t="s">
        <v>935</v>
      </c>
      <c r="I201" s="142"/>
      <c r="J201" s="143"/>
      <c r="L201" s="135"/>
    </row>
    <row r="202" spans="2:12" s="127" customFormat="1">
      <c r="B202" s="193"/>
      <c r="C202" s="155" t="s">
        <v>19</v>
      </c>
      <c r="D202" s="155">
        <v>56</v>
      </c>
      <c r="E202" s="129" t="str">
        <f>VLOOKUP(LEFT(F202,3),Admin!$A$4:$D$113,4,FALSE)</f>
        <v>O</v>
      </c>
      <c r="F202" s="130" t="s">
        <v>325</v>
      </c>
      <c r="G202" s="131"/>
      <c r="H202" s="132"/>
      <c r="I202" s="133" t="str">
        <f ca="1">IF(E202="n/a", "--&gt;N/A",
IF(COUNTIF(OFFSET(I202,1,0,COUNTIF(listReqCredits,D202)-1),"no")&gt;0,"--&gt; No",
IF(COUNTIF(OFFSET(I202,1,0,COUNTIF(listReqCredits,D202)-1),"n/a")=COUNTIF(listReqCredits,D202)-1,"--&gt; N/A",
IF(COUNTIF(OFFSET(I202,1,0,COUNTIF(listReqCredits,D202)-1),"yes")+COUNTIF(OFFSET(I202,1,0,COUNTIF(listReqCredits,D202)-1),"n/a")+COUNTIF(OFFSET(I202,1,0,COUNTIF(listReqCredits,D202)-1),"pending PV")=COUNTIF(listReqCredits,D202)-1,"--&gt; Yes",
IF(COUNTIF(OFFSET(I202,1,0,COUNTIF(listReqCredits,D202)-1),"yes")+COUNTIF(OFFSET(I202,1,0,COUNTIF(listReqCredits,D202)-1),"maybe")+COUNTIF(OFFSET(I202,1,0,COUNTIF(listReqCredits,D202)-1),"n/a")+COUNTIF(OFFSET(I202,1,0,COUNTIF(listReqCredits,D202)-1),"pending pv")=COUNTIF(listReqCredits,D202)-1,"--&gt; Maybe",
"")))))</f>
        <v/>
      </c>
      <c r="J202" s="134"/>
      <c r="L202" s="135"/>
    </row>
    <row r="203" spans="2:12" s="127" customFormat="1" ht="136">
      <c r="B203" s="193"/>
      <c r="C203" s="136"/>
      <c r="D203" s="137">
        <v>56</v>
      </c>
      <c r="E203" s="138"/>
      <c r="F203" s="139" t="s">
        <v>490</v>
      </c>
      <c r="G203" s="179" t="s">
        <v>930</v>
      </c>
      <c r="H203" s="141" t="s">
        <v>938</v>
      </c>
      <c r="I203" s="142"/>
      <c r="J203" s="143"/>
      <c r="L203" s="135"/>
    </row>
    <row r="204" spans="2:12" s="127" customFormat="1" ht="15" customHeight="1">
      <c r="B204" s="188" t="s">
        <v>958</v>
      </c>
      <c r="C204" s="157" t="s">
        <v>190</v>
      </c>
      <c r="D204" s="157">
        <v>57</v>
      </c>
      <c r="E204" s="129" t="str">
        <f>VLOOKUP(LEFT(F204,3),Admin!$A$4:$D$113,4,FALSE)</f>
        <v>P</v>
      </c>
      <c r="F204" s="130" t="s">
        <v>326</v>
      </c>
      <c r="G204" s="131"/>
      <c r="H204" s="132"/>
      <c r="I204" s="133" t="str">
        <f ca="1">IF(E204="n/a", "--&gt;N/A",
IF(COUNTIF(OFFSET(I204,1,0,COUNTIF(listReqCredits,D204)-1),"no")&gt;0,"--&gt; No",
IF(COUNTIF(OFFSET(I204,1,0,COUNTIF(listReqCredits,D204)-1),"n/a")=COUNTIF(listReqCredits,D204)-1,"--&gt; N/A",
IF(COUNTIF(OFFSET(I204,1,0,COUNTIF(listReqCredits,D204)-1),"yes")+COUNTIF(OFFSET(I204,1,0,COUNTIF(listReqCredits,D204)-1),"n/a")+COUNTIF(OFFSET(I204,1,0,COUNTIF(listReqCredits,D204)-1),"pending PV")=COUNTIF(listReqCredits,D204)-1,"--&gt; Yes",
IF(COUNTIF(OFFSET(I204,1,0,COUNTIF(listReqCredits,D204)-1),"yes")+COUNTIF(OFFSET(I204,1,0,COUNTIF(listReqCredits,D204)-1),"maybe")+COUNTIF(OFFSET(I204,1,0,COUNTIF(listReqCredits,D204)-1),"n/a")+COUNTIF(OFFSET(I204,1,0,COUNTIF(listReqCredits,D204)-1),"pending pv")=COUNTIF(listReqCredits,D204)-1,"--&gt; Maybe",
"")))))</f>
        <v/>
      </c>
      <c r="J204" s="134"/>
      <c r="L204" s="135"/>
    </row>
    <row r="205" spans="2:12" s="127" customFormat="1" ht="85">
      <c r="B205" s="189"/>
      <c r="C205" s="136"/>
      <c r="D205" s="137">
        <v>57</v>
      </c>
      <c r="E205" s="138"/>
      <c r="F205" s="139" t="s">
        <v>491</v>
      </c>
      <c r="G205" s="140" t="s">
        <v>661</v>
      </c>
      <c r="H205" s="141" t="s">
        <v>41</v>
      </c>
      <c r="I205" s="142"/>
      <c r="J205" s="143"/>
      <c r="L205" s="135"/>
    </row>
    <row r="206" spans="2:12" s="127" customFormat="1" ht="85">
      <c r="B206" s="189"/>
      <c r="C206" s="136"/>
      <c r="D206" s="137">
        <v>57</v>
      </c>
      <c r="E206" s="138"/>
      <c r="F206" s="139" t="s">
        <v>492</v>
      </c>
      <c r="G206" s="140" t="s">
        <v>662</v>
      </c>
      <c r="H206" s="141" t="s">
        <v>41</v>
      </c>
      <c r="I206" s="142"/>
      <c r="J206" s="143"/>
      <c r="L206" s="135"/>
    </row>
    <row r="207" spans="2:12" s="127" customFormat="1" ht="102">
      <c r="B207" s="189"/>
      <c r="C207" s="136"/>
      <c r="D207" s="137">
        <v>57</v>
      </c>
      <c r="E207" s="138"/>
      <c r="F207" s="139" t="s">
        <v>493</v>
      </c>
      <c r="G207" s="140" t="s">
        <v>733</v>
      </c>
      <c r="H207" s="141" t="s">
        <v>41</v>
      </c>
      <c r="I207" s="142"/>
      <c r="J207" s="143"/>
      <c r="L207" s="135"/>
    </row>
    <row r="208" spans="2:12" s="127" customFormat="1">
      <c r="B208" s="189"/>
      <c r="C208" s="157" t="s">
        <v>190</v>
      </c>
      <c r="D208" s="157">
        <v>58</v>
      </c>
      <c r="E208" s="129" t="str">
        <f>VLOOKUP(LEFT(F208,3),Admin!$A$4:$D$113,4,FALSE)</f>
        <v>O</v>
      </c>
      <c r="F208" s="130" t="s">
        <v>327</v>
      </c>
      <c r="G208" s="131"/>
      <c r="H208" s="132"/>
      <c r="I208" s="133" t="str">
        <f ca="1">IF(E208="n/a", "--&gt;N/A",
IF(COUNTIF(OFFSET(I208,1,0,COUNTIF(listReqCredits,D208)-1),"no")&gt;0,"--&gt; No",
IF(COUNTIF(OFFSET(I208,1,0,COUNTIF(listReqCredits,D208)-1),"n/a")=COUNTIF(listReqCredits,D208)-1,"--&gt; N/A",
IF(COUNTIF(OFFSET(I208,1,0,COUNTIF(listReqCredits,D208)-1),"yes")+COUNTIF(OFFSET(I208,1,0,COUNTIF(listReqCredits,D208)-1),"n/a")+COUNTIF(OFFSET(I208,1,0,COUNTIF(listReqCredits,D208)-1),"pending PV")=COUNTIF(listReqCredits,D208)-1,"--&gt; Yes",
IF(COUNTIF(OFFSET(I208,1,0,COUNTIF(listReqCredits,D208)-1),"yes")+COUNTIF(OFFSET(I208,1,0,COUNTIF(listReqCredits,D208)-1),"maybe")+COUNTIF(OFFSET(I208,1,0,COUNTIF(listReqCredits,D208)-1),"n/a")+COUNTIF(OFFSET(I208,1,0,COUNTIF(listReqCredits,D208)-1),"pending pv")=COUNTIF(listReqCredits,D208)-1,"--&gt; Maybe",
"")))))</f>
        <v/>
      </c>
      <c r="J208" s="134"/>
      <c r="K208" s="146"/>
      <c r="L208" s="135"/>
    </row>
    <row r="209" spans="2:12" s="127" customFormat="1" ht="153">
      <c r="B209" s="189"/>
      <c r="C209" s="136"/>
      <c r="D209" s="137">
        <v>58</v>
      </c>
      <c r="E209" s="138"/>
      <c r="F209" s="139" t="s">
        <v>494</v>
      </c>
      <c r="G209" s="179" t="s">
        <v>954</v>
      </c>
      <c r="H209" s="140" t="s">
        <v>41</v>
      </c>
      <c r="I209" s="142"/>
      <c r="J209" s="143"/>
      <c r="K209" s="146"/>
      <c r="L209" s="135"/>
    </row>
    <row r="210" spans="2:12" s="127" customFormat="1" ht="102">
      <c r="B210" s="189"/>
      <c r="C210" s="136"/>
      <c r="D210" s="137">
        <v>58</v>
      </c>
      <c r="E210" s="138"/>
      <c r="F210" s="152" t="s">
        <v>495</v>
      </c>
      <c r="G210" s="140" t="s">
        <v>834</v>
      </c>
      <c r="H210" s="140" t="s">
        <v>41</v>
      </c>
      <c r="I210" s="142"/>
      <c r="J210" s="143"/>
      <c r="K210" s="146"/>
      <c r="L210" s="135"/>
    </row>
    <row r="211" spans="2:12" s="127" customFormat="1">
      <c r="B211" s="189"/>
      <c r="C211" s="157" t="s">
        <v>190</v>
      </c>
      <c r="D211" s="157">
        <v>59</v>
      </c>
      <c r="E211" s="129" t="str">
        <f>VLOOKUP(LEFT(F211,3),Admin!$A$4:$D$113,4,FALSE)</f>
        <v>O</v>
      </c>
      <c r="F211" s="130" t="s">
        <v>328</v>
      </c>
      <c r="G211" s="131"/>
      <c r="H211" s="132"/>
      <c r="I211" s="133" t="str">
        <f ca="1">IF(E211="n/a", "--&gt;N/A",
IF(COUNTIF(OFFSET(I211,1,0,COUNTIF(listReqCredits,D211)-1),"no")&gt;0,"--&gt; No",
IF(COUNTIF(OFFSET(I211,1,0,COUNTIF(listReqCredits,D211)-1),"n/a")=COUNTIF(listReqCredits,D211)-1,"--&gt; N/A",
IF(COUNTIF(OFFSET(I211,1,0,COUNTIF(listReqCredits,D211)-1),"yes")+COUNTIF(OFFSET(I211,1,0,COUNTIF(listReqCredits,D211)-1),"n/a")+COUNTIF(OFFSET(I211,1,0,COUNTIF(listReqCredits,D211)-1),"pending PV")=COUNTIF(listReqCredits,D211)-1,"--&gt; Yes",
IF(COUNTIF(OFFSET(I211,1,0,COUNTIF(listReqCredits,D211)-1),"yes")+COUNTIF(OFFSET(I211,1,0,COUNTIF(listReqCredits,D211)-1),"maybe")+COUNTIF(OFFSET(I211,1,0,COUNTIF(listReqCredits,D211)-1),"n/a")+COUNTIF(OFFSET(I211,1,0,COUNTIF(listReqCredits,D211)-1),"pending pv")=COUNTIF(listReqCredits,D211)-1,"--&gt; Maybe",
"")))))</f>
        <v/>
      </c>
      <c r="J211" s="134"/>
      <c r="K211" s="146"/>
      <c r="L211" s="135"/>
    </row>
    <row r="212" spans="2:12" s="127" customFormat="1" ht="85">
      <c r="B212" s="189"/>
      <c r="C212" s="136"/>
      <c r="D212" s="137">
        <v>59</v>
      </c>
      <c r="E212" s="138"/>
      <c r="F212" s="139" t="s">
        <v>496</v>
      </c>
      <c r="G212" s="140" t="s">
        <v>734</v>
      </c>
      <c r="H212" s="140" t="s">
        <v>41</v>
      </c>
      <c r="I212" s="142"/>
      <c r="J212" s="143"/>
      <c r="K212" s="146"/>
      <c r="L212" s="135"/>
    </row>
    <row r="213" spans="2:12" s="127" customFormat="1" ht="136">
      <c r="B213" s="189"/>
      <c r="C213" s="136"/>
      <c r="D213" s="137">
        <v>59</v>
      </c>
      <c r="E213" s="138"/>
      <c r="F213" s="152" t="s">
        <v>497</v>
      </c>
      <c r="G213" s="140" t="s">
        <v>735</v>
      </c>
      <c r="H213" s="140" t="s">
        <v>41</v>
      </c>
      <c r="I213" s="142"/>
      <c r="J213" s="143"/>
      <c r="K213" s="146"/>
      <c r="L213" s="135"/>
    </row>
    <row r="214" spans="2:12" s="127" customFormat="1">
      <c r="B214" s="189"/>
      <c r="C214" s="157" t="s">
        <v>190</v>
      </c>
      <c r="D214" s="157">
        <v>60</v>
      </c>
      <c r="E214" s="129" t="str">
        <f>VLOOKUP(LEFT(F214,3),Admin!$A$4:$D$113,4,FALSE)</f>
        <v>O</v>
      </c>
      <c r="F214" s="130" t="s">
        <v>329</v>
      </c>
      <c r="G214" s="131"/>
      <c r="H214" s="132"/>
      <c r="I214" s="133" t="str">
        <f ca="1">IF(E214="n/a", "--&gt;N/A",
IF(COUNTIF(OFFSET(I214,1,0,COUNTIF(listReqCredits,D214)-1),"no")&gt;0,"--&gt; No",
IF(COUNTIF(OFFSET(I214,1,0,COUNTIF(listReqCredits,D214)-1),"n/a")=COUNTIF(listReqCredits,D214)-1,"--&gt; N/A",
IF(COUNTIF(OFFSET(I214,1,0,COUNTIF(listReqCredits,D214)-1),"yes")+COUNTIF(OFFSET(I214,1,0,COUNTIF(listReqCredits,D214)-1),"n/a")+COUNTIF(OFFSET(I214,1,0,COUNTIF(listReqCredits,D214)-1),"pending PV")=COUNTIF(listReqCredits,D214)-1,"--&gt; Yes",
IF(COUNTIF(OFFSET(I214,1,0,COUNTIF(listReqCredits,D214)-1),"yes")+COUNTIF(OFFSET(I214,1,0,COUNTIF(listReqCredits,D214)-1),"maybe")+COUNTIF(OFFSET(I214,1,0,COUNTIF(listReqCredits,D214)-1),"n/a")+COUNTIF(OFFSET(I214,1,0,COUNTIF(listReqCredits,D214)-1),"pending pv")=COUNTIF(listReqCredits,D214)-1,"--&gt; Maybe",
"")))))</f>
        <v/>
      </c>
      <c r="J214" s="134"/>
      <c r="L214" s="135"/>
    </row>
    <row r="215" spans="2:12" s="127" customFormat="1" ht="119">
      <c r="B215" s="189"/>
      <c r="C215" s="136"/>
      <c r="D215" s="137">
        <v>60</v>
      </c>
      <c r="E215" s="138"/>
      <c r="F215" s="139" t="s">
        <v>498</v>
      </c>
      <c r="G215" s="179" t="s">
        <v>955</v>
      </c>
      <c r="H215" s="140" t="s">
        <v>874</v>
      </c>
      <c r="I215" s="142"/>
      <c r="J215" s="143"/>
      <c r="L215" s="135"/>
    </row>
    <row r="216" spans="2:12" s="127" customFormat="1" ht="102">
      <c r="B216" s="189"/>
      <c r="C216" s="136"/>
      <c r="D216" s="137">
        <v>60</v>
      </c>
      <c r="E216" s="138"/>
      <c r="F216" s="152" t="s">
        <v>499</v>
      </c>
      <c r="G216" s="140" t="s">
        <v>835</v>
      </c>
      <c r="H216" s="140" t="s">
        <v>874</v>
      </c>
      <c r="I216" s="142"/>
      <c r="J216" s="143"/>
      <c r="L216" s="135"/>
    </row>
    <row r="217" spans="2:12" s="127" customFormat="1">
      <c r="B217" s="189"/>
      <c r="C217" s="157" t="s">
        <v>190</v>
      </c>
      <c r="D217" s="157">
        <v>61</v>
      </c>
      <c r="E217" s="129" t="str">
        <f>VLOOKUP(LEFT(F217,3),Admin!$A$4:$D$113,4,FALSE)</f>
        <v>O</v>
      </c>
      <c r="F217" s="130" t="s">
        <v>330</v>
      </c>
      <c r="G217" s="131"/>
      <c r="H217" s="132"/>
      <c r="I217" s="133" t="str">
        <f ca="1">IF(E217="n/a", "--&gt;N/A",
IF(COUNTIF(OFFSET(I217,1,0,COUNTIF(listReqCredits,D217)-1),"no")&gt;0,"--&gt; No",
IF(COUNTIF(OFFSET(I217,1,0,COUNTIF(listReqCredits,D217)-1),"n/a")=COUNTIF(listReqCredits,D217)-1,"--&gt; N/A",
IF(COUNTIF(OFFSET(I217,1,0,COUNTIF(listReqCredits,D217)-1),"yes")+COUNTIF(OFFSET(I217,1,0,COUNTIF(listReqCredits,D217)-1),"n/a")+COUNTIF(OFFSET(I217,1,0,COUNTIF(listReqCredits,D217)-1),"pending PV")=COUNTIF(listReqCredits,D217)-1,"--&gt; Yes",
IF(COUNTIF(OFFSET(I217,1,0,COUNTIF(listReqCredits,D217)-1),"yes")+COUNTIF(OFFSET(I217,1,0,COUNTIF(listReqCredits,D217)-1),"maybe")+COUNTIF(OFFSET(I217,1,0,COUNTIF(listReqCredits,D217)-1),"n/a")+COUNTIF(OFFSET(I217,1,0,COUNTIF(listReqCredits,D217)-1),"pending pv")=COUNTIF(listReqCredits,D217)-1,"--&gt; Maybe",
"")))))</f>
        <v/>
      </c>
      <c r="J217" s="134"/>
      <c r="K217" s="146"/>
      <c r="L217" s="135"/>
    </row>
    <row r="218" spans="2:12" s="127" customFormat="1" ht="119">
      <c r="B218" s="189"/>
      <c r="C218" s="136"/>
      <c r="D218" s="137">
        <v>61</v>
      </c>
      <c r="E218" s="138"/>
      <c r="F218" s="139" t="s">
        <v>500</v>
      </c>
      <c r="G218" s="140" t="s">
        <v>663</v>
      </c>
      <c r="H218" s="140" t="s">
        <v>874</v>
      </c>
      <c r="I218" s="142"/>
      <c r="J218" s="143"/>
      <c r="K218" s="146"/>
      <c r="L218" s="135"/>
    </row>
    <row r="219" spans="2:12" s="127" customFormat="1" ht="119">
      <c r="B219" s="189"/>
      <c r="C219" s="136"/>
      <c r="D219" s="137">
        <v>61</v>
      </c>
      <c r="E219" s="138"/>
      <c r="F219" s="139" t="s">
        <v>501</v>
      </c>
      <c r="G219" s="140" t="s">
        <v>736</v>
      </c>
      <c r="H219" s="140" t="s">
        <v>874</v>
      </c>
      <c r="I219" s="142"/>
      <c r="J219" s="143"/>
      <c r="K219" s="146"/>
      <c r="L219" s="135"/>
    </row>
    <row r="220" spans="2:12" s="127" customFormat="1">
      <c r="B220" s="189"/>
      <c r="C220" s="157" t="s">
        <v>190</v>
      </c>
      <c r="D220" s="157">
        <v>62</v>
      </c>
      <c r="E220" s="129" t="str">
        <f>VLOOKUP(LEFT(F220,3),Admin!$A$4:$D$113,4,FALSE)</f>
        <v>O</v>
      </c>
      <c r="F220" s="130" t="s">
        <v>331</v>
      </c>
      <c r="G220" s="131"/>
      <c r="H220" s="132"/>
      <c r="I220" s="133" t="str">
        <f ca="1">IF(E220="n/a", "--&gt;N/A",
IF(COUNTIF(OFFSET(I220,1,0,COUNTIF(listReqCredits,D220)-1),"no")&gt;0,"--&gt; No",
IF(COUNTIF(OFFSET(I220,1,0,COUNTIF(listReqCredits,D220)-1),"n/a")=COUNTIF(listReqCredits,D220)-1,"--&gt; N/A",
IF(COUNTIF(OFFSET(I220,1,0,COUNTIF(listReqCredits,D220)-1),"yes")+COUNTIF(OFFSET(I220,1,0,COUNTIF(listReqCredits,D220)-1),"n/a")+COUNTIF(OFFSET(I220,1,0,COUNTIF(listReqCredits,D220)-1),"pending PV")=COUNTIF(listReqCredits,D220)-1,"--&gt; Yes",
IF(COUNTIF(OFFSET(I220,1,0,COUNTIF(listReqCredits,D220)-1),"yes")+COUNTIF(OFFSET(I220,1,0,COUNTIF(listReqCredits,D220)-1),"maybe")+COUNTIF(OFFSET(I220,1,0,COUNTIF(listReqCredits,D220)-1),"n/a")+COUNTIF(OFFSET(I220,1,0,COUNTIF(listReqCredits,D220)-1),"pending pv")=COUNTIF(listReqCredits,D220)-1,"--&gt; Maybe",
"")))))</f>
        <v/>
      </c>
      <c r="J220" s="134"/>
      <c r="K220" s="146"/>
      <c r="L220" s="135"/>
    </row>
    <row r="221" spans="2:12" s="127" customFormat="1" ht="119">
      <c r="B221" s="189"/>
      <c r="C221" s="136"/>
      <c r="D221" s="137">
        <v>62</v>
      </c>
      <c r="E221" s="138"/>
      <c r="F221" s="139" t="s">
        <v>502</v>
      </c>
      <c r="G221" s="140" t="s">
        <v>836</v>
      </c>
      <c r="H221" s="141" t="s">
        <v>936</v>
      </c>
      <c r="I221" s="142"/>
      <c r="J221" s="143"/>
      <c r="K221" s="146"/>
      <c r="L221" s="135"/>
    </row>
    <row r="222" spans="2:12" s="127" customFormat="1" ht="136">
      <c r="B222" s="189"/>
      <c r="C222" s="136"/>
      <c r="D222" s="137">
        <v>62</v>
      </c>
      <c r="E222" s="138"/>
      <c r="F222" s="139" t="s">
        <v>503</v>
      </c>
      <c r="G222" s="140" t="s">
        <v>737</v>
      </c>
      <c r="H222" s="141" t="s">
        <v>936</v>
      </c>
      <c r="I222" s="142"/>
      <c r="J222" s="143"/>
      <c r="K222" s="146"/>
      <c r="L222" s="135"/>
    </row>
    <row r="223" spans="2:12" s="127" customFormat="1" ht="119">
      <c r="B223" s="189"/>
      <c r="C223" s="136"/>
      <c r="D223" s="137">
        <v>62</v>
      </c>
      <c r="E223" s="138"/>
      <c r="F223" s="139" t="s">
        <v>504</v>
      </c>
      <c r="G223" s="140" t="s">
        <v>664</v>
      </c>
      <c r="H223" s="141" t="s">
        <v>936</v>
      </c>
      <c r="I223" s="142"/>
      <c r="J223" s="143"/>
      <c r="K223" s="146"/>
      <c r="L223" s="135"/>
    </row>
    <row r="224" spans="2:12" s="127" customFormat="1">
      <c r="B224" s="189"/>
      <c r="C224" s="157" t="s">
        <v>190</v>
      </c>
      <c r="D224" s="157">
        <v>63</v>
      </c>
      <c r="E224" s="129" t="str">
        <f>VLOOKUP(LEFT(F224,3),Admin!$A$4:$D$113,4,FALSE)</f>
        <v>O</v>
      </c>
      <c r="F224" s="130" t="s">
        <v>332</v>
      </c>
      <c r="G224" s="131"/>
      <c r="H224" s="132"/>
      <c r="I224" s="133" t="str">
        <f ca="1">IF(E224="n/a", "--&gt;N/A",
IF(COUNTIF(OFFSET(I224,1,0,COUNTIF(listReqCredits,D224)-1),"no")&gt;0,"--&gt; No",
IF(COUNTIF(OFFSET(I224,1,0,COUNTIF(listReqCredits,D224)-1),"n/a")=COUNTIF(listReqCredits,D224)-1,"--&gt; N/A",
IF(COUNTIF(OFFSET(I224,1,0,COUNTIF(listReqCredits,D224)-1),"yes")+COUNTIF(OFFSET(I224,1,0,COUNTIF(listReqCredits,D224)-1),"n/a")+COUNTIF(OFFSET(I224,1,0,COUNTIF(listReqCredits,D224)-1),"pending PV")=COUNTIF(listReqCredits,D224)-1,"--&gt; Yes",
IF(COUNTIF(OFFSET(I224,1,0,COUNTIF(listReqCredits,D224)-1),"yes")+COUNTIF(OFFSET(I224,1,0,COUNTIF(listReqCredits,D224)-1),"maybe")+COUNTIF(OFFSET(I224,1,0,COUNTIF(listReqCredits,D224)-1),"n/a")+COUNTIF(OFFSET(I224,1,0,COUNTIF(listReqCredits,D224)-1),"pending pv")=COUNTIF(listReqCredits,D224)-1,"--&gt; Maybe",
"")))))</f>
        <v/>
      </c>
      <c r="J224" s="134"/>
      <c r="L224" s="135"/>
    </row>
    <row r="225" spans="2:12" s="127" customFormat="1" ht="119">
      <c r="B225" s="189"/>
      <c r="C225" s="136"/>
      <c r="D225" s="137">
        <v>63</v>
      </c>
      <c r="E225" s="138"/>
      <c r="F225" s="139" t="s">
        <v>505</v>
      </c>
      <c r="G225" s="140" t="s">
        <v>738</v>
      </c>
      <c r="H225" s="141" t="s">
        <v>936</v>
      </c>
      <c r="I225" s="142"/>
      <c r="J225" s="143"/>
      <c r="L225" s="135"/>
    </row>
    <row r="226" spans="2:12" s="127" customFormat="1" ht="85">
      <c r="B226" s="189"/>
      <c r="C226" s="136"/>
      <c r="D226" s="137">
        <v>63</v>
      </c>
      <c r="E226" s="138"/>
      <c r="F226" s="139" t="s">
        <v>506</v>
      </c>
      <c r="G226" s="140" t="s">
        <v>739</v>
      </c>
      <c r="H226" s="141" t="s">
        <v>936</v>
      </c>
      <c r="I226" s="142"/>
      <c r="J226" s="143"/>
      <c r="L226" s="135"/>
    </row>
    <row r="227" spans="2:12" s="127" customFormat="1">
      <c r="B227" s="189"/>
      <c r="C227" s="157" t="s">
        <v>190</v>
      </c>
      <c r="D227" s="157">
        <v>64</v>
      </c>
      <c r="E227" s="129" t="str">
        <f>VLOOKUP(LEFT(F227,3),Admin!$A$4:$D$113,4,FALSE)</f>
        <v>O</v>
      </c>
      <c r="F227" s="130" t="s">
        <v>333</v>
      </c>
      <c r="G227" s="131"/>
      <c r="H227" s="132"/>
      <c r="I227" s="133" t="str">
        <f ca="1">IF(E227="n/a", "--&gt;N/A",
IF(COUNTIF(OFFSET(I227,1,0,COUNTIF(listReqCredits,D227)-1),"no")&gt;0,"--&gt; No",
IF(COUNTIF(OFFSET(I227,1,0,COUNTIF(listReqCredits,D227)-1),"n/a")=COUNTIF(listReqCredits,D227)-1,"--&gt; N/A",
IF(COUNTIF(OFFSET(I227,1,0,COUNTIF(listReqCredits,D227)-1),"yes")+COUNTIF(OFFSET(I227,1,0,COUNTIF(listReqCredits,D227)-1),"n/a")+COUNTIF(OFFSET(I227,1,0,COUNTIF(listReqCredits,D227)-1),"pending PV")=COUNTIF(listReqCredits,D227)-1,"--&gt; Yes",
IF(COUNTIF(OFFSET(I227,1,0,COUNTIF(listReqCredits,D227)-1),"yes")+COUNTIF(OFFSET(I227,1,0,COUNTIF(listReqCredits,D227)-1),"maybe")+COUNTIF(OFFSET(I227,1,0,COUNTIF(listReqCredits,D227)-1),"n/a")+COUNTIF(OFFSET(I227,1,0,COUNTIF(listReqCredits,D227)-1),"pending pv")=COUNTIF(listReqCredits,D227)-1,"--&gt; Maybe",
"")))))</f>
        <v/>
      </c>
      <c r="J227" s="134"/>
      <c r="K227" s="146"/>
      <c r="L227" s="135"/>
    </row>
    <row r="228" spans="2:12" s="127" customFormat="1" ht="119">
      <c r="B228" s="189"/>
      <c r="C228" s="136"/>
      <c r="D228" s="137">
        <v>64</v>
      </c>
      <c r="E228" s="138"/>
      <c r="F228" s="139" t="s">
        <v>887</v>
      </c>
      <c r="G228" s="179" t="s">
        <v>947</v>
      </c>
      <c r="H228" s="141" t="s">
        <v>938</v>
      </c>
      <c r="I228" s="142"/>
      <c r="J228" s="143"/>
      <c r="K228" s="146"/>
      <c r="L228" s="135"/>
    </row>
    <row r="229" spans="2:12" s="127" customFormat="1">
      <c r="B229" s="189"/>
      <c r="C229" s="157" t="s">
        <v>190</v>
      </c>
      <c r="D229" s="157">
        <v>65</v>
      </c>
      <c r="E229" s="129" t="str">
        <f>VLOOKUP(LEFT(F229,3),Admin!$A$4:$D$113,4,FALSE)</f>
        <v>O</v>
      </c>
      <c r="F229" s="130" t="s">
        <v>334</v>
      </c>
      <c r="G229" s="131"/>
      <c r="H229" s="132"/>
      <c r="I229" s="133" t="str">
        <f ca="1">IF(E229="n/a", "--&gt;N/A",
IF(COUNTIF(OFFSET(I229,1,0,COUNTIF(listReqCredits,D229)-1),"no")&gt;0,"--&gt; No",
IF(COUNTIF(OFFSET(I229,1,0,COUNTIF(listReqCredits,D229)-1),"n/a")=COUNTIF(listReqCredits,D229)-1,"--&gt; N/A",
IF(COUNTIF(OFFSET(I229,1,0,COUNTIF(listReqCredits,D229)-1),"yes")+COUNTIF(OFFSET(I229,1,0,COUNTIF(listReqCredits,D229)-1),"n/a")+COUNTIF(OFFSET(I229,1,0,COUNTIF(listReqCredits,D229)-1),"pending PV")=COUNTIF(listReqCredits,D229)-1,"--&gt; Yes",
IF(COUNTIF(OFFSET(I229,1,0,COUNTIF(listReqCredits,D229)-1),"yes")+COUNTIF(OFFSET(I229,1,0,COUNTIF(listReqCredits,D229)-1),"maybe")+COUNTIF(OFFSET(I229,1,0,COUNTIF(listReqCredits,D229)-1),"n/a")+COUNTIF(OFFSET(I229,1,0,COUNTIF(listReqCredits,D229)-1),"pending pv")=COUNTIF(listReqCredits,D229)-1,"--&gt; Maybe",
"")))))</f>
        <v/>
      </c>
      <c r="J229" s="134"/>
      <c r="L229" s="135"/>
    </row>
    <row r="230" spans="2:12" s="127" customFormat="1" ht="119">
      <c r="B230" s="189"/>
      <c r="C230" s="136"/>
      <c r="D230" s="137">
        <v>65</v>
      </c>
      <c r="E230" s="138"/>
      <c r="F230" s="139" t="s">
        <v>507</v>
      </c>
      <c r="G230" s="140" t="s">
        <v>665</v>
      </c>
      <c r="H230" s="141" t="s">
        <v>41</v>
      </c>
      <c r="I230" s="142"/>
      <c r="J230" s="143"/>
      <c r="L230" s="135"/>
    </row>
    <row r="231" spans="2:12" s="127" customFormat="1" ht="153">
      <c r="B231" s="189"/>
      <c r="C231" s="136"/>
      <c r="D231" s="137">
        <v>65</v>
      </c>
      <c r="E231" s="138"/>
      <c r="F231" s="139" t="s">
        <v>508</v>
      </c>
      <c r="G231" s="179" t="s">
        <v>740</v>
      </c>
      <c r="H231" s="141" t="s">
        <v>41</v>
      </c>
      <c r="I231" s="142"/>
      <c r="J231" s="143"/>
      <c r="L231" s="135"/>
    </row>
    <row r="232" spans="2:12" s="127" customFormat="1" ht="15" customHeight="1">
      <c r="B232" s="199" t="s">
        <v>702</v>
      </c>
      <c r="C232" s="158" t="s">
        <v>203</v>
      </c>
      <c r="D232" s="158">
        <v>66</v>
      </c>
      <c r="E232" s="129" t="str">
        <f>VLOOKUP(LEFT(F232,3),Admin!$A$4:$D$113,4,FALSE)</f>
        <v>p</v>
      </c>
      <c r="F232" s="130" t="s">
        <v>335</v>
      </c>
      <c r="G232" s="131"/>
      <c r="H232" s="132"/>
      <c r="I232" s="133" t="str">
        <f ca="1">IF(E232="n/a", "--&gt;N/A",
IF(COUNTIF(OFFSET(I232,1,0,COUNTIF(listReqCredits,D232)-1),"no")&gt;0,"--&gt; No",
IF(COUNTIF(OFFSET(I232,1,0,COUNTIF(listReqCredits,D232)-1),"n/a")=COUNTIF(listReqCredits,D232)-1,"--&gt; N/A",
IF(COUNTIF(OFFSET(I232,1,0,COUNTIF(listReqCredits,D232)-1),"yes")+COUNTIF(OFFSET(I232,1,0,COUNTIF(listReqCredits,D232)-1),"n/a")+COUNTIF(OFFSET(I232,1,0,COUNTIF(listReqCredits,D232)-1),"pending PV")=COUNTIF(listReqCredits,D232)-1,"--&gt; Yes",
IF(COUNTIF(OFFSET(I232,1,0,COUNTIF(listReqCredits,D232)-1),"yes")+COUNTIF(OFFSET(I232,1,0,COUNTIF(listReqCredits,D232)-1),"maybe")+COUNTIF(OFFSET(I232,1,0,COUNTIF(listReqCredits,D232)-1),"n/a")+COUNTIF(OFFSET(I232,1,0,COUNTIF(listReqCredits,D232)-1),"pending pv")=COUNTIF(listReqCredits,D232)-1,"--&gt; Maybe",
"")))))</f>
        <v/>
      </c>
      <c r="J232" s="134"/>
      <c r="L232" s="135"/>
    </row>
    <row r="233" spans="2:12" s="127" customFormat="1" ht="170">
      <c r="B233" s="199"/>
      <c r="C233" s="136"/>
      <c r="D233" s="137">
        <v>66</v>
      </c>
      <c r="E233" s="138"/>
      <c r="F233" s="139" t="s">
        <v>509</v>
      </c>
      <c r="G233" s="140" t="s">
        <v>666</v>
      </c>
      <c r="H233" s="141" t="s">
        <v>419</v>
      </c>
      <c r="I233" s="142"/>
      <c r="J233" s="143"/>
      <c r="L233" s="135"/>
    </row>
    <row r="234" spans="2:12" s="127" customFormat="1">
      <c r="B234" s="199"/>
      <c r="C234" s="158" t="s">
        <v>203</v>
      </c>
      <c r="D234" s="158">
        <f>D232+1</f>
        <v>67</v>
      </c>
      <c r="E234" s="129" t="str">
        <f>VLOOKUP(LEFT(F234,3),Admin!$A$4:$D$113,4,FALSE)</f>
        <v>O</v>
      </c>
      <c r="F234" s="130" t="s">
        <v>336</v>
      </c>
      <c r="G234" s="131"/>
      <c r="H234" s="132"/>
      <c r="I234" s="133" t="str">
        <f ca="1">IF(E234="n/a", "--&gt;N/A",
IF(COUNTIF(OFFSET(I234,1,0,COUNTIF(listReqCredits,D234)-1),"no")&gt;0,"--&gt; No",
IF(COUNTIF(OFFSET(I234,1,0,COUNTIF(listReqCredits,D234)-1),"n/a")=COUNTIF(listReqCredits,D234)-1,"--&gt; N/A",
IF(COUNTIF(OFFSET(I234,1,0,COUNTIF(listReqCredits,D234)-1),"yes")+COUNTIF(OFFSET(I234,1,0,COUNTIF(listReqCredits,D234)-1),"n/a")+COUNTIF(OFFSET(I234,1,0,COUNTIF(listReqCredits,D234)-1),"pending PV")=COUNTIF(listReqCredits,D234)-1,"--&gt; Yes",
IF(COUNTIF(OFFSET(I234,1,0,COUNTIF(listReqCredits,D234)-1),"yes")+COUNTIF(OFFSET(I234,1,0,COUNTIF(listReqCredits,D234)-1),"maybe")+COUNTIF(OFFSET(I234,1,0,COUNTIF(listReqCredits,D234)-1),"n/a")+COUNTIF(OFFSET(I234,1,0,COUNTIF(listReqCredits,D234)-1),"pending pv")=COUNTIF(listReqCredits,D234)-1,"--&gt; Maybe",
"")))))</f>
        <v/>
      </c>
      <c r="J234" s="134"/>
      <c r="L234" s="135"/>
    </row>
    <row r="235" spans="2:12" s="127" customFormat="1" ht="187">
      <c r="B235" s="199"/>
      <c r="C235" s="136"/>
      <c r="D235" s="137">
        <v>67</v>
      </c>
      <c r="E235" s="138"/>
      <c r="F235" s="139" t="s">
        <v>510</v>
      </c>
      <c r="G235" s="140" t="s">
        <v>875</v>
      </c>
      <c r="H235" s="141" t="s">
        <v>938</v>
      </c>
      <c r="I235" s="142"/>
      <c r="J235" s="143"/>
      <c r="L235" s="135"/>
    </row>
    <row r="236" spans="2:12" s="127" customFormat="1">
      <c r="B236" s="199"/>
      <c r="C236" s="158" t="s">
        <v>203</v>
      </c>
      <c r="D236" s="158">
        <f>D234+1</f>
        <v>68</v>
      </c>
      <c r="E236" s="129" t="str">
        <f>VLOOKUP(LEFT(F236,3),Admin!$A$4:$D$113,4,FALSE)</f>
        <v>O</v>
      </c>
      <c r="F236" s="130" t="s">
        <v>337</v>
      </c>
      <c r="G236" s="131"/>
      <c r="H236" s="132"/>
      <c r="I236" s="133" t="str">
        <f ca="1">IF(E236="n/a", "--&gt;N/A",
IF(COUNTIF(OFFSET(I236,1,0,COUNTIF(listReqCredits,D236)-1),"no")&gt;0,"--&gt; No",
IF(COUNTIF(OFFSET(I236,1,0,COUNTIF(listReqCredits,D236)-1),"n/a")=COUNTIF(listReqCredits,D236)-1,"--&gt; N/A",
IF(COUNTIF(OFFSET(I236,1,0,COUNTIF(listReqCredits,D236)-1),"yes")+COUNTIF(OFFSET(I236,1,0,COUNTIF(listReqCredits,D236)-1),"n/a")+COUNTIF(OFFSET(I236,1,0,COUNTIF(listReqCredits,D236)-1),"pending PV")=COUNTIF(listReqCredits,D236)-1,"--&gt; Yes",
IF(COUNTIF(OFFSET(I236,1,0,COUNTIF(listReqCredits,D236)-1),"yes")+COUNTIF(OFFSET(I236,1,0,COUNTIF(listReqCredits,D236)-1),"maybe")+COUNTIF(OFFSET(I236,1,0,COUNTIF(listReqCredits,D236)-1),"n/a")+COUNTIF(OFFSET(I236,1,0,COUNTIF(listReqCredits,D236)-1),"pending pv")=COUNTIF(listReqCredits,D236)-1,"--&gt; Maybe",
"")))))</f>
        <v/>
      </c>
      <c r="J236" s="134"/>
      <c r="L236" s="135"/>
    </row>
    <row r="237" spans="2:12" s="127" customFormat="1" ht="204">
      <c r="B237" s="199"/>
      <c r="C237" s="136"/>
      <c r="D237" s="137">
        <v>68</v>
      </c>
      <c r="E237" s="138"/>
      <c r="F237" s="139" t="s">
        <v>511</v>
      </c>
      <c r="G237" s="140" t="s">
        <v>837</v>
      </c>
      <c r="H237" s="141" t="s">
        <v>598</v>
      </c>
      <c r="I237" s="142"/>
      <c r="J237" s="143"/>
      <c r="L237" s="135"/>
    </row>
    <row r="238" spans="2:12" s="127" customFormat="1">
      <c r="B238" s="199"/>
      <c r="C238" s="158" t="s">
        <v>203</v>
      </c>
      <c r="D238" s="158">
        <v>69</v>
      </c>
      <c r="E238" s="129" t="str">
        <f>VLOOKUP(LEFT(F238,3),Admin!$A$4:$D$113,4,FALSE)</f>
        <v>O</v>
      </c>
      <c r="F238" s="130" t="s">
        <v>338</v>
      </c>
      <c r="G238" s="131"/>
      <c r="H238" s="132"/>
      <c r="I238" s="133" t="str">
        <f ca="1">IF(E238="n/a", "--&gt;N/A",
IF(COUNTIF(OFFSET(I238,1,0,COUNTIF(listReqCredits,D238)-1),"no")&gt;0,"--&gt; No",
IF(COUNTIF(OFFSET(I238,1,0,COUNTIF(listReqCredits,D238)-1),"n/a")=COUNTIF(listReqCredits,D238)-1,"--&gt; N/A",
IF(COUNTIF(OFFSET(I238,1,0,COUNTIF(listReqCredits,D238)-1),"yes")+COUNTIF(OFFSET(I238,1,0,COUNTIF(listReqCredits,D238)-1),"n/a")+COUNTIF(OFFSET(I238,1,0,COUNTIF(listReqCredits,D238)-1),"pending PV")=COUNTIF(listReqCredits,D238)-1,"--&gt; Yes",
IF(COUNTIF(OFFSET(I238,1,0,COUNTIF(listReqCredits,D238)-1),"yes")+COUNTIF(OFFSET(I238,1,0,COUNTIF(listReqCredits,D238)-1),"maybe")+COUNTIF(OFFSET(I238,1,0,COUNTIF(listReqCredits,D238)-1),"n/a")+COUNTIF(OFFSET(I238,1,0,COUNTIF(listReqCredits,D238)-1),"pending pv")=COUNTIF(listReqCredits,D238)-1,"--&gt; Maybe",
"")))))</f>
        <v/>
      </c>
      <c r="J238" s="134"/>
      <c r="L238" s="135"/>
    </row>
    <row r="239" spans="2:12" s="127" customFormat="1" ht="153">
      <c r="B239" s="199"/>
      <c r="C239" s="136"/>
      <c r="D239" s="137">
        <v>69</v>
      </c>
      <c r="E239" s="138"/>
      <c r="F239" s="139" t="s">
        <v>512</v>
      </c>
      <c r="G239" s="140" t="s">
        <v>741</v>
      </c>
      <c r="H239" s="141" t="s">
        <v>41</v>
      </c>
      <c r="I239" s="142"/>
      <c r="J239" s="143"/>
      <c r="L239" s="135"/>
    </row>
    <row r="240" spans="2:12" s="127" customFormat="1">
      <c r="B240" s="199"/>
      <c r="C240" s="158" t="s">
        <v>203</v>
      </c>
      <c r="D240" s="158">
        <v>70</v>
      </c>
      <c r="E240" s="129" t="str">
        <f>VLOOKUP(LEFT(F240,3),Admin!$A$4:$D$113,4,FALSE)</f>
        <v>O</v>
      </c>
      <c r="F240" s="130" t="s">
        <v>339</v>
      </c>
      <c r="G240" s="131"/>
      <c r="H240" s="132"/>
      <c r="I240" s="133" t="str">
        <f ca="1">IF(E240="n/a", "--&gt;N/A",
IF(COUNTIF(OFFSET(I240,1,0,COUNTIF(listReqCredits,D240)-1),"no")&gt;0,"--&gt; No",
IF(COUNTIF(OFFSET(I240,1,0,COUNTIF(listReqCredits,D240)-1),"n/a")=COUNTIF(listReqCredits,D240)-1,"--&gt; N/A",
IF(COUNTIF(OFFSET(I240,1,0,COUNTIF(listReqCredits,D240)-1),"yes")+COUNTIF(OFFSET(I240,1,0,COUNTIF(listReqCredits,D240)-1),"n/a")+COUNTIF(OFFSET(I240,1,0,COUNTIF(listReqCredits,D240)-1),"pending PV")=COUNTIF(listReqCredits,D240)-1,"--&gt; Yes",
IF(COUNTIF(OFFSET(I240,1,0,COUNTIF(listReqCredits,D240)-1),"yes")+COUNTIF(OFFSET(I240,1,0,COUNTIF(listReqCredits,D240)-1),"maybe")+COUNTIF(OFFSET(I240,1,0,COUNTIF(listReqCredits,D240)-1),"n/a")+COUNTIF(OFFSET(I240,1,0,COUNTIF(listReqCredits,D240)-1),"pending pv")=COUNTIF(listReqCredits,D240)-1,"--&gt; Maybe",
"")))))</f>
        <v/>
      </c>
      <c r="J240" s="134"/>
      <c r="K240" s="146"/>
      <c r="L240" s="135"/>
    </row>
    <row r="241" spans="2:12" s="127" customFormat="1" ht="87">
      <c r="B241" s="199"/>
      <c r="C241" s="136"/>
      <c r="D241" s="137">
        <v>70</v>
      </c>
      <c r="E241" s="138"/>
      <c r="F241" s="139" t="s">
        <v>513</v>
      </c>
      <c r="G241" s="140" t="s">
        <v>876</v>
      </c>
      <c r="H241" s="141" t="s">
        <v>409</v>
      </c>
      <c r="I241" s="142"/>
      <c r="J241" s="143"/>
      <c r="K241" s="146"/>
      <c r="L241" s="135"/>
    </row>
    <row r="242" spans="2:12" s="127" customFormat="1">
      <c r="B242" s="199"/>
      <c r="C242" s="158" t="s">
        <v>203</v>
      </c>
      <c r="D242" s="158">
        <v>71</v>
      </c>
      <c r="E242" s="129" t="str">
        <f>VLOOKUP(LEFT(F242,3),Admin!$A$4:$D$113,4,FALSE)</f>
        <v>O</v>
      </c>
      <c r="F242" s="130" t="s">
        <v>340</v>
      </c>
      <c r="G242" s="131"/>
      <c r="H242" s="132"/>
      <c r="I242" s="133" t="str">
        <f ca="1">IF(E242="n/a", "--&gt;N/A",
IF(COUNTIF(OFFSET(I242,1,0,COUNTIF(listReqCredits,D242)-1),"no")&gt;0,"--&gt; No",
IF(COUNTIF(OFFSET(I242,1,0,COUNTIF(listReqCredits,D242)-1),"n/a")=COUNTIF(listReqCredits,D242)-1,"--&gt; N/A",
IF(COUNTIF(OFFSET(I242,1,0,COUNTIF(listReqCredits,D242)-1),"yes")+COUNTIF(OFFSET(I242,1,0,COUNTIF(listReqCredits,D242)-1),"n/a")+COUNTIF(OFFSET(I242,1,0,COUNTIF(listReqCredits,D242)-1),"pending PV")=COUNTIF(listReqCredits,D242)-1,"--&gt; Yes",
IF(COUNTIF(OFFSET(I242,1,0,COUNTIF(listReqCredits,D242)-1),"yes")+COUNTIF(OFFSET(I242,1,0,COUNTIF(listReqCredits,D242)-1),"maybe")+COUNTIF(OFFSET(I242,1,0,COUNTIF(listReqCredits,D242)-1),"n/a")+COUNTIF(OFFSET(I242,1,0,COUNTIF(listReqCredits,D242)-1),"pending pv")=COUNTIF(listReqCredits,D242)-1,"--&gt; Maybe",
"")))))</f>
        <v/>
      </c>
      <c r="J242" s="134"/>
      <c r="L242" s="135"/>
    </row>
    <row r="243" spans="2:12" s="127" customFormat="1" ht="119">
      <c r="B243" s="199"/>
      <c r="C243" s="136"/>
      <c r="D243" s="137">
        <v>71</v>
      </c>
      <c r="E243" s="138"/>
      <c r="F243" s="139" t="s">
        <v>514</v>
      </c>
      <c r="G243" s="140" t="s">
        <v>667</v>
      </c>
      <c r="H243" s="141" t="s">
        <v>41</v>
      </c>
      <c r="I243" s="142"/>
      <c r="J243" s="143"/>
      <c r="L243" s="135"/>
    </row>
    <row r="244" spans="2:12" s="127" customFormat="1" ht="136">
      <c r="B244" s="199"/>
      <c r="C244" s="136"/>
      <c r="D244" s="137">
        <v>71</v>
      </c>
      <c r="E244" s="138"/>
      <c r="F244" s="139" t="s">
        <v>515</v>
      </c>
      <c r="G244" s="140" t="s">
        <v>742</v>
      </c>
      <c r="H244" s="141" t="s">
        <v>41</v>
      </c>
      <c r="I244" s="142"/>
      <c r="J244" s="143"/>
      <c r="L244" s="135"/>
    </row>
    <row r="245" spans="2:12" s="127" customFormat="1" ht="15" customHeight="1">
      <c r="B245" s="200" t="s">
        <v>703</v>
      </c>
      <c r="C245" s="159" t="s">
        <v>218</v>
      </c>
      <c r="D245" s="159">
        <v>72</v>
      </c>
      <c r="E245" s="129" t="str">
        <f>VLOOKUP(LEFT(F245,3),Admin!$A$4:$D$113,4,FALSE)</f>
        <v>P</v>
      </c>
      <c r="F245" s="130" t="s">
        <v>838</v>
      </c>
      <c r="G245" s="131"/>
      <c r="H245" s="132"/>
      <c r="I245" s="133" t="str">
        <f ca="1">IF(E245="n/a", "--&gt;N/A",
IF(COUNTIF(OFFSET(I245,1,0,COUNTIF(listReqCredits,D245)-1),"no")&gt;0,"--&gt; No",
IF(COUNTIF(OFFSET(I245,1,0,COUNTIF(listReqCredits,D245)-1),"n/a")=COUNTIF(listReqCredits,D245)-1,"--&gt; N/A",
IF(COUNTIF(OFFSET(I245,1,0,COUNTIF(listReqCredits,D245)-1),"yes")+COUNTIF(OFFSET(I245,1,0,COUNTIF(listReqCredits,D245)-1),"n/a")+COUNTIF(OFFSET(I245,1,0,COUNTIF(listReqCredits,D245)-1),"pending PV")=COUNTIF(listReqCredits,D245)-1,"--&gt; Yes",
IF(COUNTIF(OFFSET(I245,1,0,COUNTIF(listReqCredits,D245)-1),"yes")+COUNTIF(OFFSET(I245,1,0,COUNTIF(listReqCredits,D245)-1),"maybe")+COUNTIF(OFFSET(I245,1,0,COUNTIF(listReqCredits,D245)-1),"n/a")+COUNTIF(OFFSET(I245,1,0,COUNTIF(listReqCredits,D245)-1),"pending pv")=COUNTIF(listReqCredits,D245)-1,"--&gt; Maybe",
"")))))</f>
        <v/>
      </c>
      <c r="J245" s="134"/>
      <c r="L245" s="135"/>
    </row>
    <row r="246" spans="2:12" s="127" customFormat="1" ht="136">
      <c r="B246" s="200"/>
      <c r="C246" s="136"/>
      <c r="D246" s="137">
        <v>72</v>
      </c>
      <c r="E246" s="138"/>
      <c r="F246" s="139" t="s">
        <v>516</v>
      </c>
      <c r="G246" s="179" t="s">
        <v>928</v>
      </c>
      <c r="H246" s="141" t="s">
        <v>598</v>
      </c>
      <c r="I246" s="142"/>
      <c r="J246" s="143"/>
      <c r="L246" s="135"/>
    </row>
    <row r="247" spans="2:12" s="127" customFormat="1">
      <c r="B247" s="200"/>
      <c r="C247" s="159" t="s">
        <v>218</v>
      </c>
      <c r="D247" s="159">
        <v>73</v>
      </c>
      <c r="E247" s="129" t="str">
        <f>VLOOKUP(LEFT(F247,3),Admin!$A$4:$D$113,4,FALSE)</f>
        <v>O</v>
      </c>
      <c r="F247" s="130" t="s">
        <v>341</v>
      </c>
      <c r="G247" s="131"/>
      <c r="H247" s="132"/>
      <c r="I247" s="133" t="str">
        <f ca="1">IF(E247="n/a", "--&gt;N/A",
IF(COUNTIF(OFFSET(I247,1,0,COUNTIF(listReqCredits,D247)-1),"no")&gt;0,"--&gt; No",
IF(COUNTIF(OFFSET(I247,1,0,COUNTIF(listReqCredits,D247)-1),"n/a")=COUNTIF(listReqCredits,D247)-1,"--&gt; N/A",
IF(COUNTIF(OFFSET(I247,1,0,COUNTIF(listReqCredits,D247)-1),"yes")+COUNTIF(OFFSET(I247,1,0,COUNTIF(listReqCredits,D247)-1),"n/a")+COUNTIF(OFFSET(I247,1,0,COUNTIF(listReqCredits,D247)-1),"pending PV")=COUNTIF(listReqCredits,D247)-1,"--&gt; Yes",
IF(COUNTIF(OFFSET(I247,1,0,COUNTIF(listReqCredits,D247)-1),"yes")+COUNTIF(OFFSET(I247,1,0,COUNTIF(listReqCredits,D247)-1),"maybe")+COUNTIF(OFFSET(I247,1,0,COUNTIF(listReqCredits,D247)-1),"n/a")+COUNTIF(OFFSET(I247,1,0,COUNTIF(listReqCredits,D247)-1),"pending pv")=COUNTIF(listReqCredits,D247)-1,"--&gt; Maybe",
"")))))</f>
        <v/>
      </c>
      <c r="J247" s="134"/>
      <c r="L247" s="135"/>
    </row>
    <row r="248" spans="2:12" s="127" customFormat="1" ht="119">
      <c r="B248" s="200"/>
      <c r="C248" s="136"/>
      <c r="D248" s="137">
        <v>73</v>
      </c>
      <c r="E248" s="138"/>
      <c r="F248" s="139" t="s">
        <v>517</v>
      </c>
      <c r="G248" s="140" t="s">
        <v>743</v>
      </c>
      <c r="H248" s="141" t="s">
        <v>598</v>
      </c>
      <c r="I248" s="142"/>
      <c r="J248" s="143"/>
      <c r="L248" s="135"/>
    </row>
    <row r="249" spans="2:12" s="127" customFormat="1">
      <c r="B249" s="200"/>
      <c r="C249" s="159" t="s">
        <v>218</v>
      </c>
      <c r="D249" s="159">
        <v>74</v>
      </c>
      <c r="E249" s="129" t="str">
        <f>VLOOKUP(LEFT(F249,3),Admin!$A$4:$D$113,4,FALSE)</f>
        <v>O</v>
      </c>
      <c r="F249" s="130" t="s">
        <v>342</v>
      </c>
      <c r="G249" s="131"/>
      <c r="H249" s="132"/>
      <c r="I249" s="133" t="str">
        <f ca="1">IF(E249="n/a", "--&gt;N/A",
IF(COUNTIF(OFFSET(I249,1,0,COUNTIF(listReqCredits,D249)-1),"no")&gt;0,"--&gt; No",
IF(COUNTIF(OFFSET(I249,1,0,COUNTIF(listReqCredits,D249)-1),"n/a")=COUNTIF(listReqCredits,D249)-1,"--&gt; N/A",
IF(COUNTIF(OFFSET(I249,1,0,COUNTIF(listReqCredits,D249)-1),"yes")+COUNTIF(OFFSET(I249,1,0,COUNTIF(listReqCredits,D249)-1),"n/a")+COUNTIF(OFFSET(I249,1,0,COUNTIF(listReqCredits,D249)-1),"pending PV")=COUNTIF(listReqCredits,D249)-1,"--&gt; Yes",
IF(COUNTIF(OFFSET(I249,1,0,COUNTIF(listReqCredits,D249)-1),"yes")+COUNTIF(OFFSET(I249,1,0,COUNTIF(listReqCredits,D249)-1),"maybe")+COUNTIF(OFFSET(I249,1,0,COUNTIF(listReqCredits,D249)-1),"n/a")+COUNTIF(OFFSET(I249,1,0,COUNTIF(listReqCredits,D249)-1),"pending pv")=COUNTIF(listReqCredits,D249)-1,"--&gt; Maybe",
"")))))</f>
        <v/>
      </c>
      <c r="J249" s="134"/>
      <c r="L249" s="135"/>
    </row>
    <row r="250" spans="2:12" s="127" customFormat="1" ht="204">
      <c r="B250" s="200"/>
      <c r="C250" s="136"/>
      <c r="D250" s="137">
        <v>74</v>
      </c>
      <c r="E250" s="138"/>
      <c r="F250" s="139" t="s">
        <v>518</v>
      </c>
      <c r="G250" s="179" t="s">
        <v>951</v>
      </c>
      <c r="H250" s="141" t="s">
        <v>941</v>
      </c>
      <c r="I250" s="142"/>
      <c r="J250" s="143"/>
      <c r="L250" s="135"/>
    </row>
    <row r="251" spans="2:12" s="127" customFormat="1">
      <c r="B251" s="200"/>
      <c r="C251" s="159" t="s">
        <v>218</v>
      </c>
      <c r="D251" s="159">
        <v>75</v>
      </c>
      <c r="E251" s="129" t="str">
        <f>VLOOKUP(LEFT(F251,3),Admin!$A$4:$D$113,4,FALSE)</f>
        <v>O</v>
      </c>
      <c r="F251" s="130" t="s">
        <v>343</v>
      </c>
      <c r="G251" s="131"/>
      <c r="H251" s="132"/>
      <c r="I251" s="133" t="str">
        <f ca="1">IF(E251="n/a", "--&gt;N/A",
IF(COUNTIF(OFFSET(I251,1,0,COUNTIF(listReqCredits,D251)-1),"no")&gt;0,"--&gt; No",
IF(COUNTIF(OFFSET(I251,1,0,COUNTIF(listReqCredits,D251)-1),"n/a")=COUNTIF(listReqCredits,D251)-1,"--&gt; N/A",
IF(COUNTIF(OFFSET(I251,1,0,COUNTIF(listReqCredits,D251)-1),"yes")+COUNTIF(OFFSET(I251,1,0,COUNTIF(listReqCredits,D251)-1),"n/a")+COUNTIF(OFFSET(I251,1,0,COUNTIF(listReqCredits,D251)-1),"pending PV")=COUNTIF(listReqCredits,D251)-1,"--&gt; Yes",
IF(COUNTIF(OFFSET(I251,1,0,COUNTIF(listReqCredits,D251)-1),"yes")+COUNTIF(OFFSET(I251,1,0,COUNTIF(listReqCredits,D251)-1),"maybe")+COUNTIF(OFFSET(I251,1,0,COUNTIF(listReqCredits,D251)-1),"n/a")+COUNTIF(OFFSET(I251,1,0,COUNTIF(listReqCredits,D251)-1),"pending pv")=COUNTIF(listReqCredits,D251)-1,"--&gt; Maybe",
"")))))</f>
        <v/>
      </c>
      <c r="J251" s="134"/>
      <c r="L251" s="135"/>
    </row>
    <row r="252" spans="2:12" s="127" customFormat="1" ht="136">
      <c r="B252" s="200"/>
      <c r="C252" s="136"/>
      <c r="D252" s="137">
        <v>75</v>
      </c>
      <c r="E252" s="138"/>
      <c r="F252" s="139" t="s">
        <v>519</v>
      </c>
      <c r="G252" s="140" t="s">
        <v>668</v>
      </c>
      <c r="H252" s="141" t="s">
        <v>599</v>
      </c>
      <c r="I252" s="142"/>
      <c r="J252" s="143"/>
      <c r="L252" s="135"/>
    </row>
    <row r="253" spans="2:12" s="127" customFormat="1" ht="136">
      <c r="B253" s="200"/>
      <c r="C253" s="136"/>
      <c r="D253" s="137">
        <v>75</v>
      </c>
      <c r="E253" s="138"/>
      <c r="F253" s="139" t="s">
        <v>520</v>
      </c>
      <c r="G253" s="140" t="s">
        <v>861</v>
      </c>
      <c r="H253" s="141" t="s">
        <v>599</v>
      </c>
      <c r="I253" s="142"/>
      <c r="J253" s="143"/>
      <c r="L253" s="135"/>
    </row>
    <row r="254" spans="2:12" s="127" customFormat="1" ht="119">
      <c r="B254" s="200"/>
      <c r="C254" s="136"/>
      <c r="D254" s="137">
        <v>75</v>
      </c>
      <c r="E254" s="138"/>
      <c r="F254" s="139" t="s">
        <v>521</v>
      </c>
      <c r="G254" s="140" t="s">
        <v>862</v>
      </c>
      <c r="H254" s="141" t="s">
        <v>599</v>
      </c>
      <c r="I254" s="142"/>
      <c r="J254" s="143"/>
      <c r="L254" s="135"/>
    </row>
    <row r="255" spans="2:12" s="127" customFormat="1" ht="119">
      <c r="B255" s="200"/>
      <c r="C255" s="136"/>
      <c r="D255" s="137">
        <v>75</v>
      </c>
      <c r="E255" s="138"/>
      <c r="F255" s="139" t="s">
        <v>522</v>
      </c>
      <c r="G255" s="140" t="s">
        <v>863</v>
      </c>
      <c r="H255" s="141" t="s">
        <v>599</v>
      </c>
      <c r="I255" s="142"/>
      <c r="J255" s="143"/>
      <c r="L255" s="135"/>
    </row>
    <row r="256" spans="2:12" s="127" customFormat="1">
      <c r="B256" s="200"/>
      <c r="C256" s="159" t="s">
        <v>218</v>
      </c>
      <c r="D256" s="159">
        <v>76</v>
      </c>
      <c r="E256" s="129" t="str">
        <f>VLOOKUP(LEFT(F256,3),Admin!$A$4:$D$113,4,FALSE)</f>
        <v>O</v>
      </c>
      <c r="F256" s="130" t="s">
        <v>344</v>
      </c>
      <c r="G256" s="131"/>
      <c r="H256" s="132"/>
      <c r="I256" s="133" t="str">
        <f ca="1">IF(E256="n/a", "--&gt;N/A",
IF(COUNTIF(OFFSET(I256,1,0,COUNTIF(listReqCredits,D256)-1),"no")&gt;0,"--&gt; No",
IF(COUNTIF(OFFSET(I256,1,0,COUNTIF(listReqCredits,D256)-1),"n/a")=COUNTIF(listReqCredits,D256)-1,"--&gt; N/A",
IF(COUNTIF(OFFSET(I256,1,0,COUNTIF(listReqCredits,D256)-1),"yes")+COUNTIF(OFFSET(I256,1,0,COUNTIF(listReqCredits,D256)-1),"n/a")+COUNTIF(OFFSET(I256,1,0,COUNTIF(listReqCredits,D256)-1),"pending PV")=COUNTIF(listReqCredits,D256)-1,"--&gt; Yes",
IF(COUNTIF(OFFSET(I256,1,0,COUNTIF(listReqCredits,D256)-1),"yes")+COUNTIF(OFFSET(I256,1,0,COUNTIF(listReqCredits,D256)-1),"maybe")+COUNTIF(OFFSET(I256,1,0,COUNTIF(listReqCredits,D256)-1),"n/a")+COUNTIF(OFFSET(I256,1,0,COUNTIF(listReqCredits,D256)-1),"pending pv")=COUNTIF(listReqCredits,D256)-1,"--&gt; Maybe",
"")))))</f>
        <v/>
      </c>
      <c r="J256" s="134"/>
      <c r="L256" s="135"/>
    </row>
    <row r="257" spans="2:12" s="127" customFormat="1" ht="136">
      <c r="B257" s="200"/>
      <c r="C257" s="136"/>
      <c r="D257" s="137">
        <v>76</v>
      </c>
      <c r="E257" s="138"/>
      <c r="F257" s="139" t="s">
        <v>523</v>
      </c>
      <c r="G257" s="140" t="s">
        <v>744</v>
      </c>
      <c r="H257" s="141" t="s">
        <v>942</v>
      </c>
      <c r="I257" s="142"/>
      <c r="J257" s="143"/>
      <c r="L257" s="135"/>
    </row>
    <row r="258" spans="2:12" s="127" customFormat="1" ht="102">
      <c r="B258" s="200"/>
      <c r="C258" s="136"/>
      <c r="D258" s="137">
        <v>76</v>
      </c>
      <c r="E258" s="138"/>
      <c r="F258" s="139" t="s">
        <v>524</v>
      </c>
      <c r="G258" s="179" t="s">
        <v>924</v>
      </c>
      <c r="H258" s="141" t="s">
        <v>937</v>
      </c>
      <c r="I258" s="142"/>
      <c r="J258" s="143"/>
      <c r="L258" s="135"/>
    </row>
    <row r="259" spans="2:12" s="127" customFormat="1" ht="102">
      <c r="B259" s="200"/>
      <c r="C259" s="136"/>
      <c r="D259" s="137">
        <v>76</v>
      </c>
      <c r="E259" s="138"/>
      <c r="F259" s="139" t="s">
        <v>525</v>
      </c>
      <c r="G259" s="140" t="s">
        <v>669</v>
      </c>
      <c r="H259" s="140" t="s">
        <v>706</v>
      </c>
      <c r="I259" s="142"/>
      <c r="J259" s="143"/>
      <c r="L259" s="135"/>
    </row>
    <row r="260" spans="2:12" s="127" customFormat="1">
      <c r="B260" s="200"/>
      <c r="C260" s="159" t="s">
        <v>218</v>
      </c>
      <c r="D260" s="159">
        <v>77</v>
      </c>
      <c r="E260" s="129" t="str">
        <f>VLOOKUP(LEFT(F260,3),Admin!$A$4:$D$113,4,FALSE)</f>
        <v>O</v>
      </c>
      <c r="F260" s="130" t="s">
        <v>345</v>
      </c>
      <c r="G260" s="131"/>
      <c r="H260" s="132"/>
      <c r="I260" s="133" t="str">
        <f ca="1">IF(E260="n/a", "--&gt;N/A",
IF(COUNTIF(OFFSET(I260,1,0,COUNTIF(listReqCredits,D260)-1),"no")&gt;0,"--&gt; No",
IF(COUNTIF(OFFSET(I260,1,0,COUNTIF(listReqCredits,D260)-1),"n/a")=COUNTIF(listReqCredits,D260)-1,"--&gt; N/A",
IF(COUNTIF(OFFSET(I260,1,0,COUNTIF(listReqCredits,D260)-1),"yes")+COUNTIF(OFFSET(I260,1,0,COUNTIF(listReqCredits,D260)-1),"n/a")+COUNTIF(OFFSET(I260,1,0,COUNTIF(listReqCredits,D260)-1),"pending PV")=COUNTIF(listReqCredits,D260)-1,"--&gt; Yes",
IF(COUNTIF(OFFSET(I260,1,0,COUNTIF(listReqCredits,D260)-1),"yes")+COUNTIF(OFFSET(I260,1,0,COUNTIF(listReqCredits,D260)-1),"maybe")+COUNTIF(OFFSET(I260,1,0,COUNTIF(listReqCredits,D260)-1),"n/a")+COUNTIF(OFFSET(I260,1,0,COUNTIF(listReqCredits,D260)-1),"pending pv")=COUNTIF(listReqCredits,D260)-1,"--&gt; Maybe",
"")))))</f>
        <v/>
      </c>
      <c r="J260" s="134"/>
      <c r="K260" s="146"/>
      <c r="L260" s="135"/>
    </row>
    <row r="261" spans="2:12" s="127" customFormat="1" ht="102">
      <c r="B261" s="200"/>
      <c r="C261" s="136"/>
      <c r="D261" s="137">
        <v>77</v>
      </c>
      <c r="E261" s="138"/>
      <c r="F261" s="139" t="s">
        <v>526</v>
      </c>
      <c r="G261" s="140" t="s">
        <v>745</v>
      </c>
      <c r="H261" s="141" t="s">
        <v>395</v>
      </c>
      <c r="I261" s="142"/>
      <c r="J261" s="143"/>
      <c r="K261" s="146"/>
      <c r="L261" s="135"/>
    </row>
    <row r="262" spans="2:12" s="127" customFormat="1">
      <c r="B262" s="200"/>
      <c r="C262" s="159" t="s">
        <v>218</v>
      </c>
      <c r="D262" s="159">
        <v>78</v>
      </c>
      <c r="E262" s="129" t="str">
        <f>VLOOKUP(LEFT(F262,3),Admin!$A$4:$D$113,4,FALSE)</f>
        <v>O</v>
      </c>
      <c r="F262" s="130" t="s">
        <v>346</v>
      </c>
      <c r="G262" s="131"/>
      <c r="H262" s="132"/>
      <c r="I262" s="133" t="str">
        <f ca="1">IF(E262="n/a", "--&gt;N/A",
IF(COUNTIF(OFFSET(I262,1,0,COUNTIF(listReqCredits,D262)-1),"no")&gt;0,"--&gt; No",
IF(COUNTIF(OFFSET(I262,1,0,COUNTIF(listReqCredits,D262)-1),"n/a")=COUNTIF(listReqCredits,D262)-1,"--&gt; N/A",
IF(COUNTIF(OFFSET(I262,1,0,COUNTIF(listReqCredits,D262)-1),"yes")+COUNTIF(OFFSET(I262,1,0,COUNTIF(listReqCredits,D262)-1),"n/a")+COUNTIF(OFFSET(I262,1,0,COUNTIF(listReqCredits,D262)-1),"pending PV")=COUNTIF(listReqCredits,D262)-1,"--&gt; Yes",
IF(COUNTIF(OFFSET(I262,1,0,COUNTIF(listReqCredits,D262)-1),"yes")+COUNTIF(OFFSET(I262,1,0,COUNTIF(listReqCredits,D262)-1),"maybe")+COUNTIF(OFFSET(I262,1,0,COUNTIF(listReqCredits,D262)-1),"n/a")+COUNTIF(OFFSET(I262,1,0,COUNTIF(listReqCredits,D262)-1),"pending pv")=COUNTIF(listReqCredits,D262)-1,"--&gt; Maybe",
"")))))</f>
        <v/>
      </c>
      <c r="J262" s="134"/>
      <c r="K262" s="146"/>
      <c r="L262" s="135"/>
    </row>
    <row r="263" spans="2:12" s="127" customFormat="1" ht="136">
      <c r="B263" s="200"/>
      <c r="C263" s="136"/>
      <c r="D263" s="137">
        <v>78</v>
      </c>
      <c r="E263" s="138"/>
      <c r="F263" s="139" t="s">
        <v>527</v>
      </c>
      <c r="G263" s="140" t="s">
        <v>840</v>
      </c>
      <c r="H263" s="141" t="s">
        <v>600</v>
      </c>
      <c r="I263" s="142"/>
      <c r="J263" s="143"/>
      <c r="K263" s="146"/>
      <c r="L263" s="135"/>
    </row>
    <row r="264" spans="2:12" s="127" customFormat="1" ht="221">
      <c r="B264" s="200"/>
      <c r="C264" s="136"/>
      <c r="D264" s="137">
        <v>78</v>
      </c>
      <c r="E264" s="138"/>
      <c r="F264" s="139" t="s">
        <v>528</v>
      </c>
      <c r="G264" s="179" t="s">
        <v>925</v>
      </c>
      <c r="H264" s="141" t="s">
        <v>600</v>
      </c>
      <c r="I264" s="142"/>
      <c r="J264" s="143"/>
      <c r="K264" s="146"/>
      <c r="L264" s="135"/>
    </row>
    <row r="265" spans="2:12" s="127" customFormat="1" ht="15" customHeight="1">
      <c r="B265" s="201" t="s">
        <v>4</v>
      </c>
      <c r="C265" s="160" t="s">
        <v>20</v>
      </c>
      <c r="D265" s="160">
        <v>79</v>
      </c>
      <c r="E265" s="129" t="str">
        <f>VLOOKUP(LEFT(F265,3),Admin!$A$4:$D$113,4,FALSE)</f>
        <v>P</v>
      </c>
      <c r="F265" s="130" t="s">
        <v>347</v>
      </c>
      <c r="G265" s="131"/>
      <c r="H265" s="132"/>
      <c r="I265" s="133" t="str">
        <f ca="1">IF(E265="n/a", "--&gt;N/A",
IF(COUNTIF(OFFSET(I265,1,0,COUNTIF(listReqCredits,D265)-1),"no")&gt;0,"--&gt; No",
IF(COUNTIF(OFFSET(I265,1,0,COUNTIF(listReqCredits,D265)-1),"n/a")=COUNTIF(listReqCredits,D265)-1,"--&gt; N/A",
IF(COUNTIF(OFFSET(I265,1,0,COUNTIF(listReqCredits,D265)-1),"yes")+COUNTIF(OFFSET(I265,1,0,COUNTIF(listReqCredits,D265)-1),"n/a")+COUNTIF(OFFSET(I265,1,0,COUNTIF(listReqCredits,D265)-1),"pending PV")=COUNTIF(listReqCredits,D265)-1,"--&gt; Yes",
IF(COUNTIF(OFFSET(I265,1,0,COUNTIF(listReqCredits,D265)-1),"yes")+COUNTIF(OFFSET(I265,1,0,COUNTIF(listReqCredits,D265)-1),"maybe")+COUNTIF(OFFSET(I265,1,0,COUNTIF(listReqCredits,D265)-1),"n/a")+COUNTIF(OFFSET(I265,1,0,COUNTIF(listReqCredits,D265)-1),"pending pv")=COUNTIF(listReqCredits,D265)-1,"--&gt; Maybe",
"")))))</f>
        <v/>
      </c>
      <c r="J265" s="134"/>
      <c r="L265" s="135"/>
    </row>
    <row r="266" spans="2:12" s="127" customFormat="1" ht="221">
      <c r="B266" s="201"/>
      <c r="C266" s="136"/>
      <c r="D266" s="137">
        <v>79</v>
      </c>
      <c r="E266" s="138"/>
      <c r="F266" s="139" t="s">
        <v>529</v>
      </c>
      <c r="G266" s="140" t="s">
        <v>859</v>
      </c>
      <c r="H266" s="179" t="s">
        <v>938</v>
      </c>
      <c r="I266" s="142"/>
      <c r="J266" s="143"/>
      <c r="L266" s="135"/>
    </row>
    <row r="267" spans="2:12" s="127" customFormat="1" ht="221">
      <c r="B267" s="201"/>
      <c r="C267" s="136"/>
      <c r="D267" s="137">
        <v>79</v>
      </c>
      <c r="E267" s="138"/>
      <c r="F267" s="139" t="s">
        <v>530</v>
      </c>
      <c r="G267" s="140" t="s">
        <v>670</v>
      </c>
      <c r="H267" s="141" t="s">
        <v>936</v>
      </c>
      <c r="I267" s="142"/>
      <c r="J267" s="143"/>
      <c r="L267" s="135"/>
    </row>
    <row r="268" spans="2:12" s="127" customFormat="1">
      <c r="B268" s="201"/>
      <c r="C268" s="160" t="s">
        <v>20</v>
      </c>
      <c r="D268" s="160">
        <v>80</v>
      </c>
      <c r="E268" s="129" t="str">
        <f>VLOOKUP(LEFT(F268,3),Admin!$A$4:$D$113,4,FALSE)</f>
        <v>O</v>
      </c>
      <c r="F268" s="130" t="s">
        <v>348</v>
      </c>
      <c r="G268" s="131"/>
      <c r="H268" s="132"/>
      <c r="I268" s="133" t="str">
        <f ca="1">IF(E268="n/a", "--&gt;N/A",
IF(COUNTIF(OFFSET(I268,1,0,COUNTIF(listReqCredits,D268)-1),"no")&gt;0,"--&gt; No",
IF(COUNTIF(OFFSET(I268,1,0,COUNTIF(listReqCredits,D268)-1),"n/a")=COUNTIF(listReqCredits,D268)-1,"--&gt; N/A",
IF(COUNTIF(OFFSET(I268,1,0,COUNTIF(listReqCredits,D268)-1),"yes")+COUNTIF(OFFSET(I268,1,0,COUNTIF(listReqCredits,D268)-1),"n/a")+COUNTIF(OFFSET(I268,1,0,COUNTIF(listReqCredits,D268)-1),"pending PV")=COUNTIF(listReqCredits,D268)-1,"--&gt; Yes",
IF(COUNTIF(OFFSET(I268,1,0,COUNTIF(listReqCredits,D268)-1),"yes")+COUNTIF(OFFSET(I268,1,0,COUNTIF(listReqCredits,D268)-1),"maybe")+COUNTIF(OFFSET(I268,1,0,COUNTIF(listReqCredits,D268)-1),"n/a")+COUNTIF(OFFSET(I268,1,0,COUNTIF(listReqCredits,D268)-1),"pending pv")=COUNTIF(listReqCredits,D268)-1,"--&gt; Maybe",
"")))))</f>
        <v/>
      </c>
      <c r="J268" s="134"/>
      <c r="L268" s="135"/>
    </row>
    <row r="269" spans="2:12" s="127" customFormat="1" ht="85">
      <c r="B269" s="201"/>
      <c r="C269" s="136"/>
      <c r="D269" s="137">
        <v>80</v>
      </c>
      <c r="E269" s="138"/>
      <c r="F269" s="139" t="s">
        <v>531</v>
      </c>
      <c r="G269" s="140" t="s">
        <v>746</v>
      </c>
      <c r="H269" s="141" t="s">
        <v>409</v>
      </c>
      <c r="I269" s="142"/>
      <c r="J269" s="143"/>
      <c r="L269" s="135"/>
    </row>
    <row r="270" spans="2:12" s="127" customFormat="1" ht="102">
      <c r="B270" s="201"/>
      <c r="C270" s="136"/>
      <c r="D270" s="137">
        <v>80</v>
      </c>
      <c r="E270" s="138"/>
      <c r="F270" s="139" t="s">
        <v>532</v>
      </c>
      <c r="G270" s="140" t="s">
        <v>671</v>
      </c>
      <c r="H270" s="141" t="s">
        <v>409</v>
      </c>
      <c r="I270" s="142"/>
      <c r="J270" s="143"/>
      <c r="L270" s="135"/>
    </row>
    <row r="271" spans="2:12" s="127" customFormat="1" ht="136">
      <c r="B271" s="201"/>
      <c r="C271" s="136"/>
      <c r="D271" s="137">
        <v>80</v>
      </c>
      <c r="E271" s="138"/>
      <c r="F271" s="139" t="s">
        <v>533</v>
      </c>
      <c r="G271" s="140" t="s">
        <v>747</v>
      </c>
      <c r="H271" s="141" t="s">
        <v>936</v>
      </c>
      <c r="I271" s="142"/>
      <c r="J271" s="143"/>
      <c r="L271" s="135"/>
    </row>
    <row r="272" spans="2:12" s="127" customFormat="1">
      <c r="B272" s="201"/>
      <c r="C272" s="160" t="s">
        <v>20</v>
      </c>
      <c r="D272" s="160">
        <v>81</v>
      </c>
      <c r="E272" s="129" t="str">
        <f>VLOOKUP(LEFT(F272,3),Admin!$A$4:$D$113,4,FALSE)</f>
        <v>O</v>
      </c>
      <c r="F272" s="130" t="s">
        <v>349</v>
      </c>
      <c r="G272" s="131"/>
      <c r="H272" s="132"/>
      <c r="I272" s="133" t="str">
        <f ca="1">IF(E272="n/a", "--&gt;N/A",
IF(COUNTIF(OFFSET(I272,1,0,COUNTIF(listReqCredits,D272)-1),"no")&gt;0,"--&gt; No",
IF(COUNTIF(OFFSET(I272,1,0,COUNTIF(listReqCredits,D272)-1),"n/a")=COUNTIF(listReqCredits,D272)-1,"--&gt; N/A",
IF(COUNTIF(OFFSET(I272,1,0,COUNTIF(listReqCredits,D272)-1),"yes")+COUNTIF(OFFSET(I272,1,0,COUNTIF(listReqCredits,D272)-1),"n/a")+COUNTIF(OFFSET(I272,1,0,COUNTIF(listReqCredits,D272)-1),"pending PV")=COUNTIF(listReqCredits,D272)-1,"--&gt; Yes",
IF(COUNTIF(OFFSET(I272,1,0,COUNTIF(listReqCredits,D272)-1),"yes")+COUNTIF(OFFSET(I272,1,0,COUNTIF(listReqCredits,D272)-1),"maybe")+COUNTIF(OFFSET(I272,1,0,COUNTIF(listReqCredits,D272)-1),"n/a")+COUNTIF(OFFSET(I272,1,0,COUNTIF(listReqCredits,D272)-1),"pending pv")=COUNTIF(listReqCredits,D272)-1,"--&gt; Maybe",
"")))))</f>
        <v/>
      </c>
      <c r="J272" s="134"/>
      <c r="L272" s="135"/>
    </row>
    <row r="273" spans="2:12" s="127" customFormat="1" ht="238">
      <c r="B273" s="201"/>
      <c r="C273" s="136"/>
      <c r="D273" s="137">
        <v>81</v>
      </c>
      <c r="E273" s="138"/>
      <c r="F273" s="139" t="s">
        <v>534</v>
      </c>
      <c r="G273" s="140" t="s">
        <v>672</v>
      </c>
      <c r="H273" s="179" t="s">
        <v>938</v>
      </c>
      <c r="I273" s="142"/>
      <c r="J273" s="143"/>
      <c r="L273" s="135"/>
    </row>
    <row r="274" spans="2:12" s="127" customFormat="1">
      <c r="B274" s="201"/>
      <c r="C274" s="160" t="s">
        <v>20</v>
      </c>
      <c r="D274" s="160">
        <v>82</v>
      </c>
      <c r="E274" s="129" t="str">
        <f>VLOOKUP(LEFT(F274,3),Admin!$A$4:$D$113,4,FALSE)</f>
        <v>O</v>
      </c>
      <c r="F274" s="130" t="s">
        <v>350</v>
      </c>
      <c r="G274" s="131"/>
      <c r="H274" s="132"/>
      <c r="I274" s="133" t="str">
        <f ca="1">IF(E274="n/a", "--&gt;N/A",
IF(COUNTIF(OFFSET(I274,1,0,COUNTIF(listReqCredits,D274)-1),"no")&gt;0,"--&gt; No",
IF(COUNTIF(OFFSET(I274,1,0,COUNTIF(listReqCredits,D274)-1),"n/a")=COUNTIF(listReqCredits,D274)-1,"--&gt; N/A",
IF(COUNTIF(OFFSET(I274,1,0,COUNTIF(listReqCredits,D274)-1),"yes")+COUNTIF(OFFSET(I274,1,0,COUNTIF(listReqCredits,D274)-1),"n/a")+COUNTIF(OFFSET(I274,1,0,COUNTIF(listReqCredits,D274)-1),"pending PV")=COUNTIF(listReqCredits,D274)-1,"--&gt; Yes",
IF(COUNTIF(OFFSET(I274,1,0,COUNTIF(listReqCredits,D274)-1),"yes")+COUNTIF(OFFSET(I274,1,0,COUNTIF(listReqCredits,D274)-1),"maybe")+COUNTIF(OFFSET(I274,1,0,COUNTIF(listReqCredits,D274)-1),"n/a")+COUNTIF(OFFSET(I274,1,0,COUNTIF(listReqCredits,D274)-1),"pending pv")=COUNTIF(listReqCredits,D274)-1,"--&gt; Maybe",
"")))))</f>
        <v/>
      </c>
      <c r="J274" s="134"/>
      <c r="L274" s="135"/>
    </row>
    <row r="275" spans="2:12" s="127" customFormat="1" ht="153">
      <c r="B275" s="201"/>
      <c r="C275" s="136"/>
      <c r="D275" s="137">
        <v>82</v>
      </c>
      <c r="E275" s="138"/>
      <c r="F275" s="139" t="s">
        <v>535</v>
      </c>
      <c r="G275" s="140" t="s">
        <v>841</v>
      </c>
      <c r="H275" s="179" t="s">
        <v>938</v>
      </c>
      <c r="I275" s="142"/>
      <c r="J275" s="143"/>
      <c r="L275" s="135"/>
    </row>
    <row r="276" spans="2:12" s="127" customFormat="1">
      <c r="B276" s="201"/>
      <c r="C276" s="160" t="s">
        <v>20</v>
      </c>
      <c r="D276" s="160">
        <v>83</v>
      </c>
      <c r="E276" s="129" t="str">
        <f>VLOOKUP(LEFT(F276,3),Admin!$A$4:$D$113,4,FALSE)</f>
        <v>O</v>
      </c>
      <c r="F276" s="130" t="s">
        <v>807</v>
      </c>
      <c r="G276" s="131"/>
      <c r="H276" s="132"/>
      <c r="I276" s="133" t="str">
        <f ca="1">IF(E276="n/a", "--&gt;N/A",
IF(COUNTIF(OFFSET(I276,1,0,COUNTIF(listReqCredits,D276)-1),"no")&gt;0,"--&gt; No",
IF(COUNTIF(OFFSET(I276,1,0,COUNTIF(listReqCredits,D276)-1),"n/a")=COUNTIF(listReqCredits,D276)-1,"--&gt; N/A",
IF(COUNTIF(OFFSET(I276,1,0,COUNTIF(listReqCredits,D276)-1),"yes")+COUNTIF(OFFSET(I276,1,0,COUNTIF(listReqCredits,D276)-1),"n/a")+COUNTIF(OFFSET(I276,1,0,COUNTIF(listReqCredits,D276)-1),"pending PV")=COUNTIF(listReqCredits,D276)-1,"--&gt; Yes",
IF(COUNTIF(OFFSET(I276,1,0,COUNTIF(listReqCredits,D276)-1),"yes")+COUNTIF(OFFSET(I276,1,0,COUNTIF(listReqCredits,D276)-1),"maybe")+COUNTIF(OFFSET(I276,1,0,COUNTIF(listReqCredits,D276)-1),"n/a")+COUNTIF(OFFSET(I276,1,0,COUNTIF(listReqCredits,D276)-1),"pending pv")=COUNTIF(listReqCredits,D276)-1,"--&gt; Maybe",
"")))))</f>
        <v/>
      </c>
      <c r="J276" s="134"/>
      <c r="L276" s="135"/>
    </row>
    <row r="277" spans="2:12" s="127" customFormat="1" ht="153">
      <c r="B277" s="201"/>
      <c r="C277" s="136"/>
      <c r="D277" s="137">
        <v>83</v>
      </c>
      <c r="E277" s="138"/>
      <c r="F277" s="139" t="s">
        <v>536</v>
      </c>
      <c r="G277" s="179" t="s">
        <v>926</v>
      </c>
      <c r="H277" s="141" t="s">
        <v>41</v>
      </c>
      <c r="I277" s="142"/>
      <c r="J277" s="143"/>
      <c r="L277" s="135"/>
    </row>
    <row r="278" spans="2:12" s="127" customFormat="1">
      <c r="B278" s="201"/>
      <c r="C278" s="160" t="s">
        <v>20</v>
      </c>
      <c r="D278" s="160">
        <v>84</v>
      </c>
      <c r="E278" s="129" t="str">
        <f>VLOOKUP(LEFT(F278,3),Admin!$A$4:$D$113,4,FALSE)</f>
        <v>O</v>
      </c>
      <c r="F278" s="130" t="s">
        <v>351</v>
      </c>
      <c r="G278" s="131"/>
      <c r="H278" s="132"/>
      <c r="I278" s="133" t="str">
        <f ca="1">IF(E278="n/a", "--&gt;N/A",
IF(COUNTIF(OFFSET(I278,1,0,COUNTIF(listReqCredits,D278)-1),"no")&gt;0,"--&gt; No",
IF(COUNTIF(OFFSET(I278,1,0,COUNTIF(listReqCredits,D278)-1),"n/a")=COUNTIF(listReqCredits,D278)-1,"--&gt; N/A",
IF(COUNTIF(OFFSET(I278,1,0,COUNTIF(listReqCredits,D278)-1),"yes")+COUNTIF(OFFSET(I278,1,0,COUNTIF(listReqCredits,D278)-1),"n/a")+COUNTIF(OFFSET(I278,1,0,COUNTIF(listReqCredits,D278)-1),"pending PV")=COUNTIF(listReqCredits,D278)-1,"--&gt; Yes",
IF(COUNTIF(OFFSET(I278,1,0,COUNTIF(listReqCredits,D278)-1),"yes")+COUNTIF(OFFSET(I278,1,0,COUNTIF(listReqCredits,D278)-1),"maybe")+COUNTIF(OFFSET(I278,1,0,COUNTIF(listReqCredits,D278)-1),"n/a")+COUNTIF(OFFSET(I278,1,0,COUNTIF(listReqCredits,D278)-1),"pending pv")=COUNTIF(listReqCredits,D278)-1,"--&gt; Maybe",
"")))))</f>
        <v/>
      </c>
      <c r="J278" s="134"/>
      <c r="L278" s="135"/>
    </row>
    <row r="279" spans="2:12" s="127" customFormat="1" ht="119">
      <c r="B279" s="201"/>
      <c r="C279" s="136"/>
      <c r="D279" s="137">
        <v>84</v>
      </c>
      <c r="E279" s="138"/>
      <c r="F279" s="139" t="s">
        <v>537</v>
      </c>
      <c r="G279" s="140" t="s">
        <v>673</v>
      </c>
      <c r="H279" s="141" t="s">
        <v>41</v>
      </c>
      <c r="I279" s="142"/>
      <c r="J279" s="143"/>
      <c r="L279" s="135"/>
    </row>
    <row r="280" spans="2:12" s="127" customFormat="1">
      <c r="B280" s="201"/>
      <c r="C280" s="160" t="s">
        <v>20</v>
      </c>
      <c r="D280" s="160">
        <v>85</v>
      </c>
      <c r="E280" s="129" t="str">
        <f>VLOOKUP(LEFT(F280,3),Admin!$A$4:$D$113,4,FALSE)</f>
        <v>O</v>
      </c>
      <c r="F280" s="130" t="s">
        <v>352</v>
      </c>
      <c r="G280" s="131"/>
      <c r="H280" s="132"/>
      <c r="I280" s="133" t="str">
        <f ca="1">IF(E280="n/a", "--&gt;N/A",
IF(COUNTIF(OFFSET(I280,1,0,COUNTIF(listReqCredits,D280)-1),"no")&gt;0,"--&gt; No",
IF(COUNTIF(OFFSET(I280,1,0,COUNTIF(listReqCredits,D280)-1),"n/a")=COUNTIF(listReqCredits,D280)-1,"--&gt; N/A",
IF(COUNTIF(OFFSET(I280,1,0,COUNTIF(listReqCredits,D280)-1),"yes")+COUNTIF(OFFSET(I280,1,0,COUNTIF(listReqCredits,D280)-1),"n/a")+COUNTIF(OFFSET(I280,1,0,COUNTIF(listReqCredits,D280)-1),"pending PV")=COUNTIF(listReqCredits,D280)-1,"--&gt; Yes",
IF(COUNTIF(OFFSET(I280,1,0,COUNTIF(listReqCredits,D280)-1),"yes")+COUNTIF(OFFSET(I280,1,0,COUNTIF(listReqCredits,D280)-1),"maybe")+COUNTIF(OFFSET(I280,1,0,COUNTIF(listReqCredits,D280)-1),"n/a")+COUNTIF(OFFSET(I280,1,0,COUNTIF(listReqCredits,D280)-1),"pending pv")=COUNTIF(listReqCredits,D280)-1,"--&gt; Maybe",
"")))))</f>
        <v/>
      </c>
      <c r="J280" s="134"/>
      <c r="L280" s="135"/>
    </row>
    <row r="281" spans="2:12" s="127" customFormat="1" ht="221">
      <c r="B281" s="201"/>
      <c r="C281" s="136"/>
      <c r="D281" s="137">
        <v>85</v>
      </c>
      <c r="E281" s="138"/>
      <c r="F281" s="152" t="s">
        <v>882</v>
      </c>
      <c r="G281" s="140" t="s">
        <v>842</v>
      </c>
      <c r="H281" s="141" t="s">
        <v>936</v>
      </c>
      <c r="I281" s="142"/>
      <c r="J281" s="143"/>
      <c r="L281" s="135"/>
    </row>
    <row r="282" spans="2:12" s="127" customFormat="1">
      <c r="B282" s="201"/>
      <c r="C282" s="160" t="s">
        <v>20</v>
      </c>
      <c r="D282" s="160">
        <v>86</v>
      </c>
      <c r="E282" s="129" t="str">
        <f>VLOOKUP(LEFT(F282,3),Admin!$A$4:$D$113,4,FALSE)</f>
        <v>O</v>
      </c>
      <c r="F282" s="130" t="s">
        <v>353</v>
      </c>
      <c r="G282" s="131"/>
      <c r="H282" s="132"/>
      <c r="I282" s="133" t="str">
        <f ca="1">IF(E282="n/a", "--&gt;N/A",
IF(COUNTIF(OFFSET(I282,1,0,COUNTIF(listReqCredits,D282)-1),"no")&gt;0,"--&gt; No",
IF(COUNTIF(OFFSET(I282,1,0,COUNTIF(listReqCredits,D282)-1),"n/a")=COUNTIF(listReqCredits,D282)-1,"--&gt; N/A",
IF(COUNTIF(OFFSET(I282,1,0,COUNTIF(listReqCredits,D282)-1),"yes")+COUNTIF(OFFSET(I282,1,0,COUNTIF(listReqCredits,D282)-1),"n/a")+COUNTIF(OFFSET(I282,1,0,COUNTIF(listReqCredits,D282)-1),"pending PV")=COUNTIF(listReqCredits,D282)-1,"--&gt; Yes",
IF(COUNTIF(OFFSET(I282,1,0,COUNTIF(listReqCredits,D282)-1),"yes")+COUNTIF(OFFSET(I282,1,0,COUNTIF(listReqCredits,D282)-1),"maybe")+COUNTIF(OFFSET(I282,1,0,COUNTIF(listReqCredits,D282)-1),"n/a")+COUNTIF(OFFSET(I282,1,0,COUNTIF(listReqCredits,D282)-1),"pending pv")=COUNTIF(listReqCredits,D282)-1,"--&gt; Maybe",
"")))))</f>
        <v/>
      </c>
      <c r="J282" s="134"/>
      <c r="K282" s="146"/>
      <c r="L282" s="135"/>
    </row>
    <row r="283" spans="2:12" s="127" customFormat="1" ht="119">
      <c r="B283" s="201"/>
      <c r="C283" s="136"/>
      <c r="D283" s="137">
        <v>86</v>
      </c>
      <c r="E283" s="138"/>
      <c r="F283" s="152" t="s">
        <v>538</v>
      </c>
      <c r="G283" s="140" t="s">
        <v>843</v>
      </c>
      <c r="H283" s="141" t="s">
        <v>936</v>
      </c>
      <c r="I283" s="142"/>
      <c r="J283" s="143"/>
      <c r="K283" s="146"/>
      <c r="L283" s="135"/>
    </row>
    <row r="284" spans="2:12" s="127" customFormat="1" ht="102">
      <c r="B284" s="201"/>
      <c r="C284" s="136"/>
      <c r="D284" s="137">
        <v>86</v>
      </c>
      <c r="E284" s="138"/>
      <c r="F284" s="152" t="s">
        <v>539</v>
      </c>
      <c r="G284" s="140" t="s">
        <v>674</v>
      </c>
      <c r="H284" s="141" t="s">
        <v>395</v>
      </c>
      <c r="I284" s="142"/>
      <c r="J284" s="143"/>
      <c r="K284" s="146"/>
      <c r="L284" s="135"/>
    </row>
    <row r="285" spans="2:12" s="127" customFormat="1">
      <c r="B285" s="201"/>
      <c r="C285" s="160" t="s">
        <v>20</v>
      </c>
      <c r="D285" s="160">
        <v>87</v>
      </c>
      <c r="E285" s="129" t="str">
        <f>VLOOKUP(LEFT(F285,3),Admin!$A$4:$D$113,4,FALSE)</f>
        <v>O</v>
      </c>
      <c r="F285" s="130" t="s">
        <v>354</v>
      </c>
      <c r="G285" s="131"/>
      <c r="H285" s="132"/>
      <c r="I285" s="133" t="str">
        <f ca="1">IF(E285="n/a", "--&gt;N/A",
IF(COUNTIF(OFFSET(I285,1,0,COUNTIF(listReqCredits,D285)-1),"no")&gt;0,"--&gt; No",
IF(COUNTIF(OFFSET(I285,1,0,COUNTIF(listReqCredits,D285)-1),"n/a")=COUNTIF(listReqCredits,D285)-1,"--&gt; N/A",
IF(COUNTIF(OFFSET(I285,1,0,COUNTIF(listReqCredits,D285)-1),"yes")+COUNTIF(OFFSET(I285,1,0,COUNTIF(listReqCredits,D285)-1),"n/a")+COUNTIF(OFFSET(I285,1,0,COUNTIF(listReqCredits,D285)-1),"pending PV")=COUNTIF(listReqCredits,D285)-1,"--&gt; Yes",
IF(COUNTIF(OFFSET(I285,1,0,COUNTIF(listReqCredits,D285)-1),"yes")+COUNTIF(OFFSET(I285,1,0,COUNTIF(listReqCredits,D285)-1),"maybe")+COUNTIF(OFFSET(I285,1,0,COUNTIF(listReqCredits,D285)-1),"n/a")+COUNTIF(OFFSET(I285,1,0,COUNTIF(listReqCredits,D285)-1),"pending pv")=COUNTIF(listReqCredits,D285)-1,"--&gt; Maybe",
"")))))</f>
        <v/>
      </c>
      <c r="J285" s="134"/>
      <c r="K285" s="146"/>
      <c r="L285" s="135"/>
    </row>
    <row r="286" spans="2:12" s="127" customFormat="1" ht="102">
      <c r="B286" s="201"/>
      <c r="C286" s="136"/>
      <c r="D286" s="137">
        <v>87</v>
      </c>
      <c r="E286" s="138"/>
      <c r="F286" s="139" t="s">
        <v>540</v>
      </c>
      <c r="G286" s="140" t="s">
        <v>675</v>
      </c>
      <c r="H286" s="141" t="s">
        <v>938</v>
      </c>
      <c r="I286" s="142"/>
      <c r="J286" s="143"/>
      <c r="K286" s="146"/>
      <c r="L286" s="135"/>
    </row>
    <row r="287" spans="2:12" s="127" customFormat="1" ht="85">
      <c r="B287" s="201"/>
      <c r="C287" s="136"/>
      <c r="D287" s="137">
        <v>87</v>
      </c>
      <c r="E287" s="138"/>
      <c r="F287" s="139" t="s">
        <v>541</v>
      </c>
      <c r="G287" s="140" t="s">
        <v>844</v>
      </c>
      <c r="H287" s="141" t="s">
        <v>409</v>
      </c>
      <c r="I287" s="142"/>
      <c r="J287" s="143"/>
      <c r="K287" s="146"/>
      <c r="L287" s="135"/>
    </row>
    <row r="288" spans="2:12">
      <c r="B288" s="201"/>
      <c r="C288" s="160" t="s">
        <v>20</v>
      </c>
      <c r="D288" s="160">
        <v>88</v>
      </c>
      <c r="E288" s="129" t="str">
        <f>VLOOKUP(LEFT(F288,3),Admin!$A$4:$D$113,4,FALSE)</f>
        <v>O</v>
      </c>
      <c r="F288" s="130" t="s">
        <v>355</v>
      </c>
      <c r="G288" s="131"/>
      <c r="H288" s="132"/>
      <c r="I288" s="133" t="str">
        <f ca="1">IF(E288="n/a", "--&gt;N/A",
IF(COUNTIF(OFFSET(I288,1,0,COUNTIF(listReqCredits,D288)-1),"no")&gt;0,"--&gt; No",
IF(COUNTIF(OFFSET(I288,1,0,COUNTIF(listReqCredits,D288)-1),"n/a")=COUNTIF(listReqCredits,D288)-1,"--&gt; N/A",
IF(COUNTIF(OFFSET(I288,1,0,COUNTIF(listReqCredits,D288)-1),"yes")+COUNTIF(OFFSET(I288,1,0,COUNTIF(listReqCredits,D288)-1),"n/a")+COUNTIF(OFFSET(I288,1,0,COUNTIF(listReqCredits,D288)-1),"pending PV")=COUNTIF(listReqCredits,D288)-1,"--&gt; Yes",
IF(COUNTIF(OFFSET(I288,1,0,COUNTIF(listReqCredits,D288)-1),"yes")+COUNTIF(OFFSET(I288,1,0,COUNTIF(listReqCredits,D288)-1),"maybe")+COUNTIF(OFFSET(I288,1,0,COUNTIF(listReqCredits,D288)-1),"n/a")+COUNTIF(OFFSET(I288,1,0,COUNTIF(listReqCredits,D288)-1),"pending pv")=COUNTIF(listReqCredits,D288)-1,"--&gt; Maybe",
"")))))</f>
        <v/>
      </c>
      <c r="J288" s="134"/>
      <c r="K288" s="127"/>
    </row>
    <row r="289" spans="2:11" ht="136">
      <c r="B289" s="201"/>
      <c r="C289" s="136"/>
      <c r="D289" s="137">
        <v>88</v>
      </c>
      <c r="E289" s="138"/>
      <c r="F289" s="139" t="s">
        <v>542</v>
      </c>
      <c r="G289" s="140" t="s">
        <v>676</v>
      </c>
      <c r="H289" s="141" t="s">
        <v>938</v>
      </c>
      <c r="I289" s="142"/>
      <c r="J289" s="143"/>
      <c r="K289" s="127"/>
    </row>
    <row r="290" spans="2:11" ht="85">
      <c r="B290" s="201"/>
      <c r="C290" s="136"/>
      <c r="D290" s="137">
        <v>88</v>
      </c>
      <c r="E290" s="138"/>
      <c r="F290" s="139" t="s">
        <v>543</v>
      </c>
      <c r="G290" s="140" t="s">
        <v>748</v>
      </c>
      <c r="H290" s="141" t="s">
        <v>409</v>
      </c>
      <c r="I290" s="142"/>
      <c r="J290" s="143"/>
      <c r="K290" s="127"/>
    </row>
    <row r="291" spans="2:11" ht="85">
      <c r="B291" s="201"/>
      <c r="C291" s="136"/>
      <c r="D291" s="137">
        <v>88</v>
      </c>
      <c r="E291" s="138"/>
      <c r="F291" s="139" t="s">
        <v>544</v>
      </c>
      <c r="G291" s="140" t="s">
        <v>677</v>
      </c>
      <c r="H291" s="141" t="s">
        <v>409</v>
      </c>
      <c r="I291" s="142"/>
      <c r="J291" s="143"/>
      <c r="K291" s="127"/>
    </row>
    <row r="292" spans="2:11">
      <c r="B292" s="201"/>
      <c r="C292" s="160" t="s">
        <v>20</v>
      </c>
      <c r="D292" s="160">
        <v>89</v>
      </c>
      <c r="E292" s="129" t="str">
        <f>VLOOKUP(LEFT(F292,3),Admin!$A$4:$D$113,4,FALSE)</f>
        <v>O</v>
      </c>
      <c r="F292" s="130" t="s">
        <v>356</v>
      </c>
      <c r="G292" s="131"/>
      <c r="H292" s="132"/>
      <c r="I292" s="133" t="str">
        <f ca="1">IF(E292="n/a", "--&gt;N/A",
IF(COUNTIF(OFFSET(I292,1,0,COUNTIF(listReqCredits,D292)-1),"no")&gt;0,"--&gt; No",
IF(COUNTIF(OFFSET(I292,1,0,COUNTIF(listReqCredits,D292)-1),"n/a")=COUNTIF(listReqCredits,D292)-1,"--&gt; N/A",
IF(COUNTIF(OFFSET(I292,1,0,COUNTIF(listReqCredits,D292)-1),"yes")+COUNTIF(OFFSET(I292,1,0,COUNTIF(listReqCredits,D292)-1),"n/a")+COUNTIF(OFFSET(I292,1,0,COUNTIF(listReqCredits,D292)-1),"pending PV")=COUNTIF(listReqCredits,D292)-1,"--&gt; Yes",
IF(COUNTIF(OFFSET(I292,1,0,COUNTIF(listReqCredits,D292)-1),"yes")+COUNTIF(OFFSET(I292,1,0,COUNTIF(listReqCredits,D292)-1),"maybe")+COUNTIF(OFFSET(I292,1,0,COUNTIF(listReqCredits,D292)-1),"n/a")+COUNTIF(OFFSET(I292,1,0,COUNTIF(listReqCredits,D292)-1),"pending pv")=COUNTIF(listReqCredits,D292)-1,"--&gt; Maybe",
"")))))</f>
        <v/>
      </c>
      <c r="J292" s="134"/>
      <c r="K292" s="146"/>
    </row>
    <row r="293" spans="2:11" ht="136">
      <c r="B293" s="201"/>
      <c r="C293" s="136"/>
      <c r="D293" s="137">
        <v>89</v>
      </c>
      <c r="E293" s="138"/>
      <c r="F293" s="139" t="s">
        <v>545</v>
      </c>
      <c r="G293" s="140" t="s">
        <v>678</v>
      </c>
      <c r="H293" s="141" t="s">
        <v>938</v>
      </c>
      <c r="I293" s="142"/>
      <c r="J293" s="143"/>
      <c r="K293" s="146"/>
    </row>
    <row r="294" spans="2:11" ht="85">
      <c r="B294" s="201"/>
      <c r="C294" s="136"/>
      <c r="D294" s="137">
        <v>89</v>
      </c>
      <c r="E294" s="138"/>
      <c r="F294" s="139" t="s">
        <v>546</v>
      </c>
      <c r="G294" s="140" t="s">
        <v>679</v>
      </c>
      <c r="H294" s="141" t="s">
        <v>409</v>
      </c>
      <c r="I294" s="142"/>
      <c r="J294" s="143"/>
      <c r="K294" s="146"/>
    </row>
    <row r="295" spans="2:11">
      <c r="B295" s="201"/>
      <c r="C295" s="160" t="s">
        <v>20</v>
      </c>
      <c r="D295" s="160">
        <v>90</v>
      </c>
      <c r="E295" s="129" t="str">
        <f>VLOOKUP(LEFT(F295,3),Admin!$A$4:$D$113,4,FALSE)</f>
        <v>O</v>
      </c>
      <c r="F295" s="130" t="s">
        <v>357</v>
      </c>
      <c r="G295" s="131"/>
      <c r="H295" s="132"/>
      <c r="I295" s="133" t="str">
        <f ca="1">IF(E295="n/a", "--&gt;N/A",
IF(COUNTIF(OFFSET(I295,1,0,COUNTIF(listReqCredits,D295)-1),"no")&gt;0,"--&gt; No",
IF(COUNTIF(OFFSET(I295,1,0,COUNTIF(listReqCredits,D295)-1),"n/a")=COUNTIF(listReqCredits,D295)-1,"--&gt; N/A",
IF(COUNTIF(OFFSET(I295,1,0,COUNTIF(listReqCredits,D295)-1),"yes")+COUNTIF(OFFSET(I295,1,0,COUNTIF(listReqCredits,D295)-1),"n/a")+COUNTIF(OFFSET(I295,1,0,COUNTIF(listReqCredits,D295)-1),"pending PV")=COUNTIF(listReqCredits,D295)-1,"--&gt; Yes",
IF(COUNTIF(OFFSET(I295,1,0,COUNTIF(listReqCredits,D295)-1),"yes")+COUNTIF(OFFSET(I295,1,0,COUNTIF(listReqCredits,D295)-1),"maybe")+COUNTIF(OFFSET(I295,1,0,COUNTIF(listReqCredits,D295)-1),"n/a")+COUNTIF(OFFSET(I295,1,0,COUNTIF(listReqCredits,D295)-1),"pending pv")=COUNTIF(listReqCredits,D295)-1,"--&gt; Maybe",
"")))))</f>
        <v/>
      </c>
      <c r="J295" s="134"/>
    </row>
    <row r="296" spans="2:11" ht="170">
      <c r="B296" s="201"/>
      <c r="C296" s="136"/>
      <c r="D296" s="137">
        <v>90</v>
      </c>
      <c r="E296" s="138"/>
      <c r="F296" s="139" t="s">
        <v>547</v>
      </c>
      <c r="G296" s="140" t="s">
        <v>680</v>
      </c>
      <c r="H296" s="141" t="s">
        <v>938</v>
      </c>
      <c r="I296" s="142"/>
      <c r="J296" s="143"/>
    </row>
    <row r="297" spans="2:11" ht="102">
      <c r="B297" s="201"/>
      <c r="C297" s="136"/>
      <c r="D297" s="137">
        <v>90</v>
      </c>
      <c r="E297" s="138"/>
      <c r="F297" s="139" t="s">
        <v>548</v>
      </c>
      <c r="G297" s="140" t="s">
        <v>681</v>
      </c>
      <c r="H297" s="141" t="s">
        <v>409</v>
      </c>
      <c r="I297" s="142"/>
      <c r="J297" s="143"/>
    </row>
    <row r="298" spans="2:11" ht="85">
      <c r="B298" s="201"/>
      <c r="C298" s="136"/>
      <c r="D298" s="137">
        <v>90</v>
      </c>
      <c r="E298" s="138"/>
      <c r="F298" s="139" t="s">
        <v>544</v>
      </c>
      <c r="G298" s="179" t="s">
        <v>952</v>
      </c>
      <c r="H298" s="141" t="s">
        <v>409</v>
      </c>
      <c r="I298" s="142"/>
      <c r="J298" s="143"/>
    </row>
    <row r="299" spans="2:11">
      <c r="B299" s="201"/>
      <c r="C299" s="160" t="s">
        <v>20</v>
      </c>
      <c r="D299" s="160">
        <v>91</v>
      </c>
      <c r="E299" s="129" t="str">
        <f>VLOOKUP(LEFT(F299,3),Admin!$A$4:$D$113,4,FALSE)</f>
        <v>O</v>
      </c>
      <c r="F299" s="130" t="s">
        <v>358</v>
      </c>
      <c r="G299" s="131"/>
      <c r="H299" s="132"/>
      <c r="I299" s="133" t="str">
        <f ca="1">IF(E299="n/a", "--&gt;N/A",
IF(COUNTIF(OFFSET(I299,1,0,COUNTIF(listReqCredits,D299)-1),"no")&gt;0,"--&gt; No",
IF(COUNTIF(OFFSET(I299,1,0,COUNTIF(listReqCredits,D299)-1),"n/a")=COUNTIF(listReqCredits,D299)-1,"--&gt; N/A",
IF(COUNTIF(OFFSET(I299,1,0,COUNTIF(listReqCredits,D299)-1),"yes")+COUNTIF(OFFSET(I299,1,0,COUNTIF(listReqCredits,D299)-1),"n/a")+COUNTIF(OFFSET(I299,1,0,COUNTIF(listReqCredits,D299)-1),"pending PV")=COUNTIF(listReqCredits,D299)-1,"--&gt; Yes",
IF(COUNTIF(OFFSET(I299,1,0,COUNTIF(listReqCredits,D299)-1),"yes")+COUNTIF(OFFSET(I299,1,0,COUNTIF(listReqCredits,D299)-1),"maybe")+COUNTIF(OFFSET(I299,1,0,COUNTIF(listReqCredits,D299)-1),"n/a")+COUNTIF(OFFSET(I299,1,0,COUNTIF(listReqCredits,D299)-1),"pending pv")=COUNTIF(listReqCredits,D299)-1,"--&gt; Maybe",
"")))))</f>
        <v/>
      </c>
      <c r="J299" s="134"/>
    </row>
    <row r="300" spans="2:11" ht="136">
      <c r="B300" s="201"/>
      <c r="C300" s="136"/>
      <c r="D300" s="137">
        <v>91</v>
      </c>
      <c r="E300" s="138"/>
      <c r="F300" s="139" t="s">
        <v>549</v>
      </c>
      <c r="G300" s="140" t="s">
        <v>682</v>
      </c>
      <c r="H300" s="141" t="s">
        <v>409</v>
      </c>
      <c r="I300" s="142"/>
      <c r="J300" s="143"/>
    </row>
    <row r="301" spans="2:11" ht="136">
      <c r="B301" s="201"/>
      <c r="C301" s="136"/>
      <c r="D301" s="137">
        <v>91</v>
      </c>
      <c r="E301" s="138"/>
      <c r="F301" s="152" t="s">
        <v>550</v>
      </c>
      <c r="G301" s="140" t="s">
        <v>845</v>
      </c>
      <c r="H301" s="141" t="s">
        <v>409</v>
      </c>
      <c r="I301" s="142"/>
      <c r="J301" s="143"/>
    </row>
    <row r="302" spans="2:11" ht="15" customHeight="1">
      <c r="B302" s="198" t="s">
        <v>704</v>
      </c>
      <c r="C302" s="161" t="s">
        <v>279</v>
      </c>
      <c r="D302" s="161">
        <v>92</v>
      </c>
      <c r="E302" s="129" t="str">
        <f>VLOOKUP(LEFT(F302,3),Admin!$A$4:$D$113,4,FALSE)</f>
        <v>P</v>
      </c>
      <c r="F302" s="130" t="s">
        <v>359</v>
      </c>
      <c r="G302" s="131"/>
      <c r="H302" s="132"/>
      <c r="I302" s="133" t="str">
        <f ca="1">IF(E302="n/a", "--&gt;N/A",
IF(COUNTIF(OFFSET(I302,1,0,COUNTIF(listReqCredits,D302)-1),"no")&gt;0,"--&gt; No",
IF(COUNTIF(OFFSET(I302,1,0,COUNTIF(listReqCredits,D302)-1),"n/a")=COUNTIF(listReqCredits,D302)-1,"--&gt; N/A",
IF(COUNTIF(OFFSET(I302,1,0,COUNTIF(listReqCredits,D302)-1),"yes")+COUNTIF(OFFSET(I302,1,0,COUNTIF(listReqCredits,D302)-1),"n/a")+COUNTIF(OFFSET(I302,1,0,COUNTIF(listReqCredits,D302)-1),"pending PV")=COUNTIF(listReqCredits,D302)-1,"--&gt; Yes",
IF(COUNTIF(OFFSET(I302,1,0,COUNTIF(listReqCredits,D302)-1),"yes")+COUNTIF(OFFSET(I302,1,0,COUNTIF(listReqCredits,D302)-1),"maybe")+COUNTIF(OFFSET(I302,1,0,COUNTIF(listReqCredits,D302)-1),"n/a")+COUNTIF(OFFSET(I302,1,0,COUNTIF(listReqCredits,D302)-1),"pending pv")=COUNTIF(listReqCredits,D302)-1,"--&gt; Maybe",
"")))))</f>
        <v/>
      </c>
      <c r="J302" s="134"/>
    </row>
    <row r="303" spans="2:11" ht="195" customHeight="1">
      <c r="B303" s="198"/>
      <c r="C303" s="136"/>
      <c r="D303" s="137">
        <v>92</v>
      </c>
      <c r="E303" s="138"/>
      <c r="F303" s="139" t="s">
        <v>551</v>
      </c>
      <c r="G303" s="140" t="s">
        <v>749</v>
      </c>
      <c r="H303" s="141" t="s">
        <v>419</v>
      </c>
      <c r="I303" s="142"/>
      <c r="J303" s="143"/>
    </row>
    <row r="304" spans="2:11">
      <c r="B304" s="198"/>
      <c r="C304" s="161" t="s">
        <v>279</v>
      </c>
      <c r="D304" s="161">
        <v>93</v>
      </c>
      <c r="E304" s="129" t="str">
        <f>VLOOKUP(LEFT(F304,3),Admin!$A$4:$D$113,4,FALSE)</f>
        <v>O</v>
      </c>
      <c r="F304" s="130" t="s">
        <v>360</v>
      </c>
      <c r="G304" s="131"/>
      <c r="H304" s="132"/>
      <c r="I304" s="133" t="str">
        <f ca="1">IF(E304="n/a", "--&gt;N/A",
IF(COUNTIF(OFFSET(I304,1,0,COUNTIF(listReqCredits,D304)-1),"no")&gt;0,"--&gt; No",
IF(COUNTIF(OFFSET(I304,1,0,COUNTIF(listReqCredits,D304)-1),"n/a")=COUNTIF(listReqCredits,D304)-1,"--&gt; N/A",
IF(COUNTIF(OFFSET(I304,1,0,COUNTIF(listReqCredits,D304)-1),"yes")+COUNTIF(OFFSET(I304,1,0,COUNTIF(listReqCredits,D304)-1),"n/a")+COUNTIF(OFFSET(I304,1,0,COUNTIF(listReqCredits,D304)-1),"pending PV")=COUNTIF(listReqCredits,D304)-1,"--&gt; Yes",
IF(COUNTIF(OFFSET(I304,1,0,COUNTIF(listReqCredits,D304)-1),"yes")+COUNTIF(OFFSET(I304,1,0,COUNTIF(listReqCredits,D304)-1),"maybe")+COUNTIF(OFFSET(I304,1,0,COUNTIF(listReqCredits,D304)-1),"n/a")+COUNTIF(OFFSET(I304,1,0,COUNTIF(listReqCredits,D304)-1),"pending pv")=COUNTIF(listReqCredits,D304)-1,"--&gt; Maybe",
"")))))</f>
        <v/>
      </c>
      <c r="J304" s="134"/>
    </row>
    <row r="305" spans="2:10" ht="135" customHeight="1">
      <c r="B305" s="198"/>
      <c r="C305" s="136"/>
      <c r="D305" s="137">
        <v>93</v>
      </c>
      <c r="E305" s="138"/>
      <c r="F305" s="152" t="s">
        <v>552</v>
      </c>
      <c r="G305" s="140" t="s">
        <v>846</v>
      </c>
      <c r="H305" s="141" t="s">
        <v>409</v>
      </c>
      <c r="I305" s="142"/>
      <c r="J305" s="143"/>
    </row>
    <row r="306" spans="2:10">
      <c r="B306" s="198"/>
      <c r="C306" s="161" t="s">
        <v>279</v>
      </c>
      <c r="D306" s="161">
        <v>94</v>
      </c>
      <c r="E306" s="129" t="str">
        <f>VLOOKUP(LEFT(F306,3),Admin!$A$4:$D$113,4,FALSE)</f>
        <v>O</v>
      </c>
      <c r="F306" s="130" t="s">
        <v>361</v>
      </c>
      <c r="G306" s="131"/>
      <c r="H306" s="132"/>
      <c r="I306" s="133" t="str">
        <f ca="1">IF(E306="n/a", "--&gt;N/A",
IF(COUNTIF(OFFSET(I306,1,0,COUNTIF(listReqCredits,D306)-1),"no")&gt;0,"--&gt; No",
IF(COUNTIF(OFFSET(I306,1,0,COUNTIF(listReqCredits,D306)-1),"n/a")=COUNTIF(listReqCredits,D306)-1,"--&gt; N/A",
IF(COUNTIF(OFFSET(I306,1,0,COUNTIF(listReqCredits,D306)-1),"yes")+COUNTIF(OFFSET(I306,1,0,COUNTIF(listReqCredits,D306)-1),"n/a")+COUNTIF(OFFSET(I306,1,0,COUNTIF(listReqCredits,D306)-1),"pending PV")=COUNTIF(listReqCredits,D306)-1,"--&gt; Yes",
IF(COUNTIF(OFFSET(I306,1,0,COUNTIF(listReqCredits,D306)-1),"yes")+COUNTIF(OFFSET(I306,1,0,COUNTIF(listReqCredits,D306)-1),"maybe")+COUNTIF(OFFSET(I306,1,0,COUNTIF(listReqCredits,D306)-1),"n/a")+COUNTIF(OFFSET(I306,1,0,COUNTIF(listReqCredits,D306)-1),"pending pv")=COUNTIF(listReqCredits,D306)-1,"--&gt; Maybe",
"")))))</f>
        <v/>
      </c>
      <c r="J306" s="134"/>
    </row>
    <row r="307" spans="2:10" ht="165" customHeight="1">
      <c r="B307" s="198"/>
      <c r="C307" s="136"/>
      <c r="D307" s="137">
        <v>94</v>
      </c>
      <c r="E307" s="138"/>
      <c r="F307" s="139" t="s">
        <v>553</v>
      </c>
      <c r="G307" s="140" t="s">
        <v>750</v>
      </c>
      <c r="H307" s="141" t="s">
        <v>409</v>
      </c>
      <c r="I307" s="142"/>
      <c r="J307" s="143"/>
    </row>
    <row r="308" spans="2:10" ht="105" customHeight="1">
      <c r="B308" s="198"/>
      <c r="C308" s="136"/>
      <c r="D308" s="137">
        <v>94</v>
      </c>
      <c r="E308" s="138"/>
      <c r="F308" s="139" t="s">
        <v>554</v>
      </c>
      <c r="G308" s="140" t="s">
        <v>683</v>
      </c>
      <c r="H308" s="141" t="s">
        <v>409</v>
      </c>
      <c r="I308" s="142"/>
      <c r="J308" s="143"/>
    </row>
    <row r="309" spans="2:10">
      <c r="B309" s="198"/>
      <c r="C309" s="161" t="s">
        <v>279</v>
      </c>
      <c r="D309" s="161">
        <v>95</v>
      </c>
      <c r="E309" s="129" t="str">
        <f>VLOOKUP(LEFT(F309,3),Admin!$A$4:$D$113,4,FALSE)</f>
        <v>O</v>
      </c>
      <c r="F309" s="130" t="s">
        <v>362</v>
      </c>
      <c r="G309" s="131"/>
      <c r="H309" s="132"/>
      <c r="I309" s="133" t="str">
        <f ca="1">IF(E309="n/a", "--&gt;N/A",
IF(COUNTIF(OFFSET(I309,1,0,COUNTIF(listReqCredits,D309)-1),"no")&gt;0,"--&gt; No",
IF(COUNTIF(OFFSET(I309,1,0,COUNTIF(listReqCredits,D309)-1),"n/a")=COUNTIF(listReqCredits,D309)-1,"--&gt; N/A",
IF(COUNTIF(OFFSET(I309,1,0,COUNTIF(listReqCredits,D309)-1),"yes")+COUNTIF(OFFSET(I309,1,0,COUNTIF(listReqCredits,D309)-1),"n/a")+COUNTIF(OFFSET(I309,1,0,COUNTIF(listReqCredits,D309)-1),"pending PV")=COUNTIF(listReqCredits,D309)-1,"--&gt; Yes",
IF(COUNTIF(OFFSET(I309,1,0,COUNTIF(listReqCredits,D309)-1),"yes")+COUNTIF(OFFSET(I309,1,0,COUNTIF(listReqCredits,D309)-1),"maybe")+COUNTIF(OFFSET(I309,1,0,COUNTIF(listReqCredits,D309)-1),"n/a")+COUNTIF(OFFSET(I309,1,0,COUNTIF(listReqCredits,D309)-1),"pending pv")=COUNTIF(listReqCredits,D309)-1,"--&gt; Maybe",
"")))))</f>
        <v/>
      </c>
      <c r="J309" s="134"/>
    </row>
    <row r="310" spans="2:10" ht="135" customHeight="1">
      <c r="B310" s="198"/>
      <c r="C310" s="136"/>
      <c r="D310" s="137">
        <v>95</v>
      </c>
      <c r="E310" s="138"/>
      <c r="F310" s="139" t="s">
        <v>555</v>
      </c>
      <c r="G310" s="140" t="s">
        <v>684</v>
      </c>
      <c r="H310" s="141" t="s">
        <v>938</v>
      </c>
      <c r="I310" s="142"/>
      <c r="J310" s="143"/>
    </row>
    <row r="311" spans="2:10" ht="135" customHeight="1">
      <c r="B311" s="198"/>
      <c r="C311" s="136"/>
      <c r="D311" s="137">
        <v>95</v>
      </c>
      <c r="E311" s="138"/>
      <c r="F311" s="139" t="s">
        <v>556</v>
      </c>
      <c r="G311" s="140" t="s">
        <v>685</v>
      </c>
      <c r="H311" s="141" t="s">
        <v>938</v>
      </c>
      <c r="I311" s="142"/>
      <c r="J311" s="143"/>
    </row>
    <row r="312" spans="2:10" ht="180" customHeight="1">
      <c r="B312" s="198"/>
      <c r="C312" s="136"/>
      <c r="D312" s="137">
        <v>95</v>
      </c>
      <c r="E312" s="138"/>
      <c r="F312" s="139" t="s">
        <v>557</v>
      </c>
      <c r="G312" s="140" t="s">
        <v>751</v>
      </c>
      <c r="H312" s="141" t="s">
        <v>600</v>
      </c>
      <c r="I312" s="142"/>
      <c r="J312" s="143"/>
    </row>
    <row r="313" spans="2:10">
      <c r="B313" s="198"/>
      <c r="C313" s="161" t="s">
        <v>279</v>
      </c>
      <c r="D313" s="161">
        <v>96</v>
      </c>
      <c r="E313" s="129" t="str">
        <f>VLOOKUP(LEFT(F313,3),Admin!$A$4:$D$113,4,FALSE)</f>
        <v>O</v>
      </c>
      <c r="F313" s="130" t="s">
        <v>847</v>
      </c>
      <c r="G313" s="131"/>
      <c r="H313" s="132"/>
      <c r="I313" s="133" t="str">
        <f ca="1">IF(E313="n/a", "--&gt;N/A",
IF(COUNTIF(OFFSET(I313,1,0,COUNTIF(listReqCredits,D313)-1),"no")&gt;0,"--&gt; No",
IF(COUNTIF(OFFSET(I313,1,0,COUNTIF(listReqCredits,D313)-1),"n/a")=COUNTIF(listReqCredits,D313)-1,"--&gt; N/A",
IF(COUNTIF(OFFSET(I313,1,0,COUNTIF(listReqCredits,D313)-1),"yes")+COUNTIF(OFFSET(I313,1,0,COUNTIF(listReqCredits,D313)-1),"n/a")+COUNTIF(OFFSET(I313,1,0,COUNTIF(listReqCredits,D313)-1),"pending PV")=COUNTIF(listReqCredits,D313)-1,"--&gt; Yes",
IF(COUNTIF(OFFSET(I313,1,0,COUNTIF(listReqCredits,D313)-1),"yes")+COUNTIF(OFFSET(I313,1,0,COUNTIF(listReqCredits,D313)-1),"maybe")+COUNTIF(OFFSET(I313,1,0,COUNTIF(listReqCredits,D313)-1),"n/a")+COUNTIF(OFFSET(I313,1,0,COUNTIF(listReqCredits,D313)-1),"pending pv")=COUNTIF(listReqCredits,D313)-1,"--&gt; Maybe",
"")))))</f>
        <v/>
      </c>
      <c r="J313" s="134"/>
    </row>
    <row r="314" spans="2:10" ht="180" customHeight="1">
      <c r="B314" s="198"/>
      <c r="C314" s="136"/>
      <c r="D314" s="137">
        <v>96</v>
      </c>
      <c r="E314" s="138"/>
      <c r="F314" s="139" t="s">
        <v>558</v>
      </c>
      <c r="G314" s="140" t="s">
        <v>877</v>
      </c>
      <c r="H314" s="179" t="s">
        <v>943</v>
      </c>
      <c r="I314" s="142"/>
      <c r="J314" s="143"/>
    </row>
    <row r="315" spans="2:10">
      <c r="B315" s="198"/>
      <c r="C315" s="161" t="s">
        <v>279</v>
      </c>
      <c r="D315" s="161">
        <v>97</v>
      </c>
      <c r="E315" s="129" t="str">
        <f>VLOOKUP(LEFT(F315,3),Admin!$A$4:$D$113,4,FALSE)</f>
        <v>O</v>
      </c>
      <c r="F315" s="130" t="s">
        <v>363</v>
      </c>
      <c r="G315" s="131"/>
      <c r="H315" s="132"/>
      <c r="I315" s="133" t="str">
        <f ca="1">IF(E315="n/a", "--&gt;N/A",
IF(COUNTIF(OFFSET(I315,1,0,COUNTIF(listReqCredits,D315)-1),"no")&gt;0,"--&gt; No",
IF(COUNTIF(OFFSET(I315,1,0,COUNTIF(listReqCredits,D315)-1),"n/a")=COUNTIF(listReqCredits,D315)-1,"--&gt; N/A",
IF(COUNTIF(OFFSET(I315,1,0,COUNTIF(listReqCredits,D315)-1),"yes")+COUNTIF(OFFSET(I315,1,0,COUNTIF(listReqCredits,D315)-1),"n/a")+COUNTIF(OFFSET(I315,1,0,COUNTIF(listReqCredits,D315)-1),"pending PV")=COUNTIF(listReqCredits,D315)-1,"--&gt; Yes",
IF(COUNTIF(OFFSET(I315,1,0,COUNTIF(listReqCredits,D315)-1),"yes")+COUNTIF(OFFSET(I315,1,0,COUNTIF(listReqCredits,D315)-1),"maybe")+COUNTIF(OFFSET(I315,1,0,COUNTIF(listReqCredits,D315)-1),"n/a")+COUNTIF(OFFSET(I315,1,0,COUNTIF(listReqCredits,D315)-1),"pending pv")=COUNTIF(listReqCredits,D315)-1,"--&gt; Maybe",
"")))))</f>
        <v/>
      </c>
      <c r="J315" s="134"/>
    </row>
    <row r="316" spans="2:10" ht="90" customHeight="1">
      <c r="B316" s="198"/>
      <c r="C316" s="136"/>
      <c r="D316" s="137">
        <v>97</v>
      </c>
      <c r="E316" s="138"/>
      <c r="F316" s="139" t="s">
        <v>559</v>
      </c>
      <c r="G316" s="140" t="s">
        <v>686</v>
      </c>
      <c r="H316" s="141" t="s">
        <v>944</v>
      </c>
      <c r="I316" s="142"/>
      <c r="J316" s="143"/>
    </row>
    <row r="317" spans="2:10" ht="90" customHeight="1">
      <c r="B317" s="198"/>
      <c r="C317" s="136"/>
      <c r="D317" s="137">
        <v>97</v>
      </c>
      <c r="E317" s="138"/>
      <c r="F317" s="139" t="s">
        <v>560</v>
      </c>
      <c r="G317" s="140" t="s">
        <v>687</v>
      </c>
      <c r="H317" s="141" t="s">
        <v>601</v>
      </c>
      <c r="I317" s="142"/>
      <c r="J317" s="143"/>
    </row>
    <row r="318" spans="2:10" ht="75" customHeight="1">
      <c r="B318" s="198"/>
      <c r="C318" s="136"/>
      <c r="D318" s="137">
        <v>97</v>
      </c>
      <c r="E318" s="138"/>
      <c r="F318" s="139" t="s">
        <v>561</v>
      </c>
      <c r="G318" s="140" t="s">
        <v>688</v>
      </c>
      <c r="H318" s="140" t="s">
        <v>41</v>
      </c>
      <c r="I318" s="142"/>
      <c r="J318" s="143"/>
    </row>
    <row r="319" spans="2:10">
      <c r="B319" s="198"/>
      <c r="C319" s="161" t="s">
        <v>279</v>
      </c>
      <c r="D319" s="161">
        <v>98</v>
      </c>
      <c r="E319" s="129" t="str">
        <f>VLOOKUP(LEFT(F319,3),Admin!$A$4:$D$113,4,FALSE)</f>
        <v>O</v>
      </c>
      <c r="F319" s="130" t="s">
        <v>364</v>
      </c>
      <c r="G319" s="131"/>
      <c r="H319" s="132"/>
      <c r="I319" s="133" t="str">
        <f ca="1">IF(E319="n/a", "--&gt;N/A",
IF(COUNTIF(OFFSET(I319,1,0,COUNTIF(listReqCredits,D319)-1),"no")&gt;0,"--&gt; No",
IF(COUNTIF(OFFSET(I319,1,0,COUNTIF(listReqCredits,D319)-1),"n/a")=COUNTIF(listReqCredits,D319)-1,"--&gt; N/A",
IF(COUNTIF(OFFSET(I319,1,0,COUNTIF(listReqCredits,D319)-1),"yes")+COUNTIF(OFFSET(I319,1,0,COUNTIF(listReqCredits,D319)-1),"n/a")+COUNTIF(OFFSET(I319,1,0,COUNTIF(listReqCredits,D319)-1),"pending PV")=COUNTIF(listReqCredits,D319)-1,"--&gt; Yes",
IF(COUNTIF(OFFSET(I319,1,0,COUNTIF(listReqCredits,D319)-1),"yes")+COUNTIF(OFFSET(I319,1,0,COUNTIF(listReqCredits,D319)-1),"maybe")+COUNTIF(OFFSET(I319,1,0,COUNTIF(listReqCredits,D319)-1),"n/a")+COUNTIF(OFFSET(I319,1,0,COUNTIF(listReqCredits,D319)-1),"pending pv")=COUNTIF(listReqCredits,D319)-1,"--&gt; Maybe",
"")))))</f>
        <v/>
      </c>
      <c r="J319" s="134"/>
    </row>
    <row r="320" spans="2:10" ht="135" customHeight="1">
      <c r="B320" s="198"/>
      <c r="C320" s="136"/>
      <c r="D320" s="137">
        <v>98</v>
      </c>
      <c r="E320" s="138"/>
      <c r="F320" s="152" t="s">
        <v>562</v>
      </c>
      <c r="G320" s="140" t="s">
        <v>849</v>
      </c>
      <c r="H320" s="141" t="s">
        <v>409</v>
      </c>
      <c r="I320" s="142"/>
      <c r="J320" s="143"/>
    </row>
    <row r="321" spans="2:10" ht="255" customHeight="1">
      <c r="B321" s="198"/>
      <c r="C321" s="136"/>
      <c r="D321" s="137">
        <v>98</v>
      </c>
      <c r="E321" s="138"/>
      <c r="F321" s="139" t="s">
        <v>563</v>
      </c>
      <c r="G321" s="140" t="s">
        <v>689</v>
      </c>
      <c r="H321" s="141" t="s">
        <v>935</v>
      </c>
      <c r="I321" s="142"/>
      <c r="J321" s="143"/>
    </row>
    <row r="322" spans="2:10" ht="240" customHeight="1">
      <c r="B322" s="198"/>
      <c r="C322" s="136"/>
      <c r="D322" s="137">
        <v>98</v>
      </c>
      <c r="E322" s="138"/>
      <c r="F322" s="139" t="s">
        <v>564</v>
      </c>
      <c r="G322" s="140" t="s">
        <v>752</v>
      </c>
      <c r="H322" s="141" t="s">
        <v>41</v>
      </c>
      <c r="I322" s="142"/>
      <c r="J322" s="143"/>
    </row>
    <row r="323" spans="2:10">
      <c r="B323" s="198"/>
      <c r="C323" s="161" t="s">
        <v>279</v>
      </c>
      <c r="D323" s="161">
        <v>99</v>
      </c>
      <c r="E323" s="129" t="str">
        <f>VLOOKUP(LEFT(F323,3),Admin!$A$4:$D$113,4,FALSE)</f>
        <v>O</v>
      </c>
      <c r="F323" s="130" t="s">
        <v>365</v>
      </c>
      <c r="G323" s="131"/>
      <c r="H323" s="132"/>
      <c r="I323" s="133" t="str">
        <f ca="1">IF(E323="n/a", "--&gt;N/A",
IF(COUNTIF(OFFSET(I323,1,0,COUNTIF(listReqCredits,D323)-1),"no")&gt;0,"--&gt; No",
IF(COUNTIF(OFFSET(I323,1,0,COUNTIF(listReqCredits,D323)-1),"n/a")=COUNTIF(listReqCredits,D323)-1,"--&gt; N/A",
IF(COUNTIF(OFFSET(I323,1,0,COUNTIF(listReqCredits,D323)-1),"yes")+COUNTIF(OFFSET(I323,1,0,COUNTIF(listReqCredits,D323)-1),"n/a")+COUNTIF(OFFSET(I323,1,0,COUNTIF(listReqCredits,D323)-1),"pending PV")=COUNTIF(listReqCredits,D323)-1,"--&gt; Yes",
IF(COUNTIF(OFFSET(I323,1,0,COUNTIF(listReqCredits,D323)-1),"yes")+COUNTIF(OFFSET(I323,1,0,COUNTIF(listReqCredits,D323)-1),"maybe")+COUNTIF(OFFSET(I323,1,0,COUNTIF(listReqCredits,D323)-1),"n/a")+COUNTIF(OFFSET(I323,1,0,COUNTIF(listReqCredits,D323)-1),"pending pv")=COUNTIF(listReqCredits,D323)-1,"--&gt; Maybe",
"")))))</f>
        <v/>
      </c>
      <c r="J323" s="134"/>
    </row>
    <row r="324" spans="2:10" ht="180" customHeight="1">
      <c r="B324" s="198"/>
      <c r="C324" s="136"/>
      <c r="D324" s="137">
        <v>99</v>
      </c>
      <c r="E324" s="138"/>
      <c r="F324" s="139" t="s">
        <v>565</v>
      </c>
      <c r="G324" s="140" t="s">
        <v>768</v>
      </c>
      <c r="H324" s="141" t="s">
        <v>41</v>
      </c>
      <c r="I324" s="142"/>
      <c r="J324" s="143"/>
    </row>
    <row r="325" spans="2:10" ht="105" customHeight="1">
      <c r="B325" s="198"/>
      <c r="C325" s="136"/>
      <c r="D325" s="137">
        <v>99</v>
      </c>
      <c r="E325" s="138"/>
      <c r="F325" s="139" t="s">
        <v>566</v>
      </c>
      <c r="G325" s="140" t="s">
        <v>850</v>
      </c>
      <c r="H325" s="141" t="s">
        <v>41</v>
      </c>
      <c r="I325" s="142"/>
      <c r="J325" s="143"/>
    </row>
    <row r="326" spans="2:10">
      <c r="B326" s="198"/>
      <c r="C326" s="161" t="s">
        <v>279</v>
      </c>
      <c r="D326" s="161">
        <v>100</v>
      </c>
      <c r="E326" s="129" t="str">
        <f>VLOOKUP(LEFT(F326,3),Admin!$A$4:$D$113,4,FALSE)</f>
        <v>O</v>
      </c>
      <c r="F326" s="130" t="s">
        <v>808</v>
      </c>
      <c r="G326" s="131"/>
      <c r="H326" s="132"/>
      <c r="I326" s="133" t="str">
        <f ca="1">IF(E326="n/a", "--&gt;N/A",
IF(COUNTIF(OFFSET(I326,1,0,COUNTIF(listReqCredits,D326)-1),"no")&gt;0,"--&gt; No",
IF(COUNTIF(OFFSET(I326,1,0,COUNTIF(listReqCredits,D326)-1),"n/a")=COUNTIF(listReqCredits,D326)-1,"--&gt; N/A",
IF(COUNTIF(OFFSET(I326,1,0,COUNTIF(listReqCredits,D326)-1),"yes")+COUNTIF(OFFSET(I326,1,0,COUNTIF(listReqCredits,D326)-1),"n/a")+COUNTIF(OFFSET(I326,1,0,COUNTIF(listReqCredits,D326)-1),"pending PV")=COUNTIF(listReqCredits,D326)-1,"--&gt; Yes",
IF(COUNTIF(OFFSET(I326,1,0,COUNTIF(listReqCredits,D326)-1),"yes")+COUNTIF(OFFSET(I326,1,0,COUNTIF(listReqCredits,D326)-1),"maybe")+COUNTIF(OFFSET(I326,1,0,COUNTIF(listReqCredits,D326)-1),"n/a")+COUNTIF(OFFSET(I326,1,0,COUNTIF(listReqCredits,D326)-1),"pending pv")=COUNTIF(listReqCredits,D326)-1,"--&gt; Maybe",
"")))))</f>
        <v/>
      </c>
      <c r="J326" s="134"/>
    </row>
    <row r="327" spans="2:10" ht="120" customHeight="1">
      <c r="B327" s="198"/>
      <c r="C327" s="136"/>
      <c r="D327" s="137">
        <v>100</v>
      </c>
      <c r="E327" s="138"/>
      <c r="F327" s="139" t="s">
        <v>567</v>
      </c>
      <c r="G327" s="140" t="s">
        <v>809</v>
      </c>
      <c r="H327" s="141" t="s">
        <v>943</v>
      </c>
      <c r="I327" s="142"/>
      <c r="J327" s="143"/>
    </row>
    <row r="328" spans="2:10">
      <c r="B328" s="198"/>
      <c r="C328" s="161" t="s">
        <v>279</v>
      </c>
      <c r="D328" s="161">
        <v>101</v>
      </c>
      <c r="E328" s="129" t="str">
        <f>VLOOKUP(LEFT(F328,3),Admin!$A$4:$D$113,4,FALSE)</f>
        <v>O</v>
      </c>
      <c r="F328" s="130" t="s">
        <v>366</v>
      </c>
      <c r="G328" s="131"/>
      <c r="H328" s="132"/>
      <c r="I328" s="133" t="str">
        <f ca="1">IF(E328="n/a", "--&gt;N/A",
IF(COUNTIF(OFFSET(I328,1,0,COUNTIF(listReqCredits,D328)-1),"no")&gt;0,"--&gt; No",
IF(COUNTIF(OFFSET(I328,1,0,COUNTIF(listReqCredits,D328)-1),"n/a")=COUNTIF(listReqCredits,D328)-1,"--&gt; N/A",
IF(COUNTIF(OFFSET(I328,1,0,COUNTIF(listReqCredits,D328)-1),"yes")+COUNTIF(OFFSET(I328,1,0,COUNTIF(listReqCredits,D328)-1),"n/a")+COUNTIF(OFFSET(I328,1,0,COUNTIF(listReqCredits,D328)-1),"pending PV")=COUNTIF(listReqCredits,D328)-1,"--&gt; Yes",
IF(COUNTIF(OFFSET(I328,1,0,COUNTIF(listReqCredits,D328)-1),"yes")+COUNTIF(OFFSET(I328,1,0,COUNTIF(listReqCredits,D328)-1),"maybe")+COUNTIF(OFFSET(I328,1,0,COUNTIF(listReqCredits,D328)-1),"n/a")+COUNTIF(OFFSET(I328,1,0,COUNTIF(listReqCredits,D328)-1),"pending pv")=COUNTIF(listReqCredits,D328)-1,"--&gt; Maybe",
"")))))</f>
        <v/>
      </c>
      <c r="J328" s="134"/>
    </row>
    <row r="329" spans="2:10" ht="150" customHeight="1">
      <c r="B329" s="198"/>
      <c r="C329" s="136"/>
      <c r="D329" s="137">
        <v>101</v>
      </c>
      <c r="E329" s="138"/>
      <c r="F329" s="139" t="s">
        <v>568</v>
      </c>
      <c r="G329" s="140" t="s">
        <v>690</v>
      </c>
      <c r="H329" s="179" t="s">
        <v>938</v>
      </c>
      <c r="I329" s="142"/>
      <c r="J329" s="143"/>
    </row>
    <row r="330" spans="2:10">
      <c r="B330" s="198"/>
      <c r="C330" s="161" t="s">
        <v>279</v>
      </c>
      <c r="D330" s="161">
        <v>102</v>
      </c>
      <c r="E330" s="129" t="str">
        <f>VLOOKUP(LEFT(F330,3),Admin!$A$4:$D$113,4,FALSE)</f>
        <v>O</v>
      </c>
      <c r="F330" s="130" t="s">
        <v>367</v>
      </c>
      <c r="G330" s="131"/>
      <c r="H330" s="132"/>
      <c r="I330" s="133" t="str">
        <f ca="1">IF(E330="n/a", "--&gt;N/A",
IF(COUNTIF(OFFSET(I330,1,0,COUNTIF(listReqCredits,D330)-1),"no")&gt;0,"--&gt; No",
IF(COUNTIF(OFFSET(I330,1,0,COUNTIF(listReqCredits,D330)-1),"n/a")=COUNTIF(listReqCredits,D330)-1,"--&gt; N/A",
IF(COUNTIF(OFFSET(I330,1,0,COUNTIF(listReqCredits,D330)-1),"yes")+COUNTIF(OFFSET(I330,1,0,COUNTIF(listReqCredits,D330)-1),"n/a")+COUNTIF(OFFSET(I330,1,0,COUNTIF(listReqCredits,D330)-1),"pending PV")=COUNTIF(listReqCredits,D330)-1,"--&gt; Yes",
IF(COUNTIF(OFFSET(I330,1,0,COUNTIF(listReqCredits,D330)-1),"yes")+COUNTIF(OFFSET(I330,1,0,COUNTIF(listReqCredits,D330)-1),"maybe")+COUNTIF(OFFSET(I330,1,0,COUNTIF(listReqCredits,D330)-1),"n/a")+COUNTIF(OFFSET(I330,1,0,COUNTIF(listReqCredits,D330)-1),"pending pv")=COUNTIF(listReqCredits,D330)-1,"--&gt; Maybe",
"")))))</f>
        <v/>
      </c>
      <c r="J330" s="134"/>
    </row>
    <row r="331" spans="2:10" ht="90" customHeight="1">
      <c r="B331" s="198"/>
      <c r="C331" s="136"/>
      <c r="D331" s="137">
        <v>102</v>
      </c>
      <c r="E331" s="138"/>
      <c r="F331" s="139" t="s">
        <v>569</v>
      </c>
      <c r="G331" s="140" t="s">
        <v>753</v>
      </c>
      <c r="H331" s="141" t="s">
        <v>602</v>
      </c>
      <c r="I331" s="142"/>
      <c r="J331" s="143"/>
    </row>
    <row r="332" spans="2:10" ht="90" customHeight="1">
      <c r="B332" s="198"/>
      <c r="C332" s="136"/>
      <c r="D332" s="137">
        <v>102</v>
      </c>
      <c r="E332" s="138"/>
      <c r="F332" s="139" t="s">
        <v>570</v>
      </c>
      <c r="G332" s="140" t="s">
        <v>754</v>
      </c>
      <c r="H332" s="141" t="s">
        <v>602</v>
      </c>
      <c r="I332" s="142"/>
      <c r="J332" s="143"/>
    </row>
    <row r="333" spans="2:10" ht="195" customHeight="1">
      <c r="B333" s="198"/>
      <c r="C333" s="136"/>
      <c r="D333" s="137">
        <v>102</v>
      </c>
      <c r="E333" s="138"/>
      <c r="F333" s="139" t="s">
        <v>571</v>
      </c>
      <c r="G333" s="140" t="s">
        <v>755</v>
      </c>
      <c r="H333" s="141" t="s">
        <v>602</v>
      </c>
      <c r="I333" s="142"/>
      <c r="J333" s="143"/>
    </row>
    <row r="334" spans="2:10">
      <c r="B334" s="198"/>
      <c r="C334" s="161" t="s">
        <v>279</v>
      </c>
      <c r="D334" s="161">
        <v>103</v>
      </c>
      <c r="E334" s="129" t="str">
        <f>VLOOKUP(LEFT(F334,3),Admin!$A$4:$D$113,4,FALSE)</f>
        <v>O</v>
      </c>
      <c r="F334" s="130" t="s">
        <v>368</v>
      </c>
      <c r="G334" s="131"/>
      <c r="H334" s="132"/>
      <c r="I334" s="133" t="str">
        <f ca="1">IF(E334="n/a", "--&gt;N/A",
IF(COUNTIF(OFFSET(I334,1,0,COUNTIF(listReqCredits,D334)-1),"no")&gt;0,"--&gt; No",
IF(COUNTIF(OFFSET(I334,1,0,COUNTIF(listReqCredits,D334)-1),"n/a")=COUNTIF(listReqCredits,D334)-1,"--&gt; N/A",
IF(COUNTIF(OFFSET(I334,1,0,COUNTIF(listReqCredits,D334)-1),"yes")+COUNTIF(OFFSET(I334,1,0,COUNTIF(listReqCredits,D334)-1),"n/a")+COUNTIF(OFFSET(I334,1,0,COUNTIF(listReqCredits,D334)-1),"pending PV")=COUNTIF(listReqCredits,D334)-1,"--&gt; Yes",
IF(COUNTIF(OFFSET(I334,1,0,COUNTIF(listReqCredits,D334)-1),"yes")+COUNTIF(OFFSET(I334,1,0,COUNTIF(listReqCredits,D334)-1),"maybe")+COUNTIF(OFFSET(I334,1,0,COUNTIF(listReqCredits,D334)-1),"n/a")+COUNTIF(OFFSET(I334,1,0,COUNTIF(listReqCredits,D334)-1),"pending pv")=COUNTIF(listReqCredits,D334)-1,"--&gt; Maybe",
"")))))</f>
        <v/>
      </c>
      <c r="J334" s="134"/>
    </row>
    <row r="335" spans="2:10" ht="120" customHeight="1">
      <c r="B335" s="198"/>
      <c r="C335" s="136"/>
      <c r="D335" s="137">
        <v>103</v>
      </c>
      <c r="E335" s="138"/>
      <c r="F335" s="139" t="s">
        <v>572</v>
      </c>
      <c r="G335" s="140" t="s">
        <v>691</v>
      </c>
      <c r="H335" s="141" t="s">
        <v>603</v>
      </c>
      <c r="I335" s="142"/>
      <c r="J335" s="143"/>
    </row>
    <row r="336" spans="2:10" ht="75" customHeight="1">
      <c r="B336" s="198"/>
      <c r="C336" s="136"/>
      <c r="D336" s="137">
        <v>103</v>
      </c>
      <c r="E336" s="138"/>
      <c r="F336" s="139" t="s">
        <v>573</v>
      </c>
      <c r="G336" s="140" t="s">
        <v>692</v>
      </c>
      <c r="H336" s="141" t="s">
        <v>603</v>
      </c>
      <c r="I336" s="142"/>
      <c r="J336" s="143"/>
    </row>
    <row r="337" spans="2:10">
      <c r="B337" s="198"/>
      <c r="C337" s="161" t="s">
        <v>279</v>
      </c>
      <c r="D337" s="161">
        <v>104</v>
      </c>
      <c r="E337" s="129" t="str">
        <f>VLOOKUP(LEFT(F337,3),Admin!$A$4:$D$113,4,FALSE)</f>
        <v>O</v>
      </c>
      <c r="F337" s="130" t="s">
        <v>604</v>
      </c>
      <c r="G337" s="131"/>
      <c r="H337" s="132"/>
      <c r="I337" s="133" t="str">
        <f ca="1">IF(E337="n/a","--&gt;N/A",
IF(COUNTIF(OFFSET(I337,1,0,COUNTIF(listReqCredits,D337)-1),"yes")&gt;0,"--&gt; Yes",
IF(COUNTIF(OFFSET(I337,1,0,COUNTIF(listReqCredits,D337)-1),"n/a")=COUNTIF(listReqCredits,D337)-1,"--&gt; N/A",
IF(COUNTIF(OFFSET(I337,1,0,COUNTIF(listReqCredits,D337)-1),"maybe")+COUNTIF(OFFSET(I337,1,0,COUNTIF(listReqCredits,D337)-1),"n/a")+COUNTIF(OFFSET(I337,1,0,COUNTIF(listReqCredits,D337)-1),"pending pv")+COUNTIF(OFFSET(I337,1,0,COUNTIF(listReqCredits,D337)-1),"no")=COUNTIF(listReqCredits,D337)-1,"--&gt; Maybe",
IF(COUNTIF(OFFSET(I337,1,0,COUNTIF(listReqCredits,D337)-1),"no")+COUNTIF(OFFSET(I337,1,0,COUNTIF(listReqCredits,D337)-1),"n/a")+COUNTIF(OFFSET(I337,1,0,COUNTIF(listReqCredits,D337)-1),"maybe")+COUNTIF(OFFSET(I337,1,0,COUNTIF(listReqCredits,D337)-1),"pending pv")=COUNTIF(listReqCredits,D337)-1,"--&gt; No",
"")))))</f>
        <v/>
      </c>
      <c r="J337" s="134"/>
    </row>
    <row r="338" spans="2:10" ht="105" customHeight="1">
      <c r="B338" s="198"/>
      <c r="C338" s="136"/>
      <c r="D338" s="137">
        <v>104</v>
      </c>
      <c r="E338" s="138"/>
      <c r="F338" s="139" t="s">
        <v>574</v>
      </c>
      <c r="G338" s="140" t="s">
        <v>693</v>
      </c>
      <c r="H338" s="141" t="s">
        <v>602</v>
      </c>
      <c r="I338" s="142"/>
      <c r="J338" s="143"/>
    </row>
    <row r="339" spans="2:10" ht="75" customHeight="1">
      <c r="B339" s="198"/>
      <c r="C339" s="136"/>
      <c r="D339" s="137">
        <v>104</v>
      </c>
      <c r="E339" s="138"/>
      <c r="F339" s="139" t="s">
        <v>575</v>
      </c>
      <c r="G339" s="140" t="s">
        <v>694</v>
      </c>
      <c r="H339" s="141" t="s">
        <v>938</v>
      </c>
      <c r="I339" s="142"/>
      <c r="J339" s="143"/>
    </row>
    <row r="340" spans="2:10">
      <c r="B340" s="198"/>
      <c r="C340" s="161" t="s">
        <v>279</v>
      </c>
      <c r="D340" s="161">
        <v>105</v>
      </c>
      <c r="E340" s="129" t="str">
        <f>VLOOKUP(LEFT(F340,3),Admin!$A$4:$D$113,4,FALSE)</f>
        <v>O</v>
      </c>
      <c r="F340" s="130" t="s">
        <v>369</v>
      </c>
      <c r="G340" s="131"/>
      <c r="H340" s="132"/>
      <c r="I340" s="133" t="str">
        <f ca="1">IF(E340="n/a", "--&gt;N/A",
IF(COUNTIF(OFFSET(I340,1,0,COUNTIF(listReqCredits,D340)-1),"no")&gt;0,"--&gt; No",
IF(COUNTIF(OFFSET(I340,1,0,COUNTIF(listReqCredits,D340)-1),"n/a")=COUNTIF(listReqCredits,D340)-1,"--&gt; N/A",
IF(COUNTIF(OFFSET(I340,1,0,COUNTIF(listReqCredits,D340)-1),"yes")+COUNTIF(OFFSET(I340,1,0,COUNTIF(listReqCredits,D340)-1),"n/a")+COUNTIF(OFFSET(I340,1,0,COUNTIF(listReqCredits,D340)-1),"pending PV")=COUNTIF(listReqCredits,D340)-1,"--&gt; Yes",
IF(COUNTIF(OFFSET(I340,1,0,COUNTIF(listReqCredits,D340)-1),"yes")+COUNTIF(OFFSET(I340,1,0,COUNTIF(listReqCredits,D340)-1),"maybe")+COUNTIF(OFFSET(I340,1,0,COUNTIF(listReqCredits,D340)-1),"n/a")+COUNTIF(OFFSET(I340,1,0,COUNTIF(listReqCredits,D340)-1),"pending pv")=COUNTIF(listReqCredits,D340)-1,"--&gt; Maybe",
"")))))</f>
        <v/>
      </c>
      <c r="J340" s="134"/>
    </row>
    <row r="341" spans="2:10" ht="75" customHeight="1">
      <c r="B341" s="198"/>
      <c r="C341" s="136"/>
      <c r="D341" s="137">
        <v>105</v>
      </c>
      <c r="E341" s="138"/>
      <c r="F341" s="139" t="s">
        <v>576</v>
      </c>
      <c r="G341" s="140" t="s">
        <v>756</v>
      </c>
      <c r="H341" s="141" t="s">
        <v>935</v>
      </c>
      <c r="I341" s="142"/>
      <c r="J341" s="143"/>
    </row>
    <row r="342" spans="2:10" ht="120" customHeight="1">
      <c r="B342" s="198"/>
      <c r="C342" s="136"/>
      <c r="D342" s="137">
        <v>105</v>
      </c>
      <c r="E342" s="138"/>
      <c r="F342" s="139" t="s">
        <v>577</v>
      </c>
      <c r="G342" s="140" t="s">
        <v>695</v>
      </c>
      <c r="H342" s="141" t="s">
        <v>602</v>
      </c>
      <c r="I342" s="142"/>
      <c r="J342" s="143"/>
    </row>
    <row r="343" spans="2:10" ht="105" customHeight="1">
      <c r="B343" s="198"/>
      <c r="C343" s="136"/>
      <c r="D343" s="137">
        <v>105</v>
      </c>
      <c r="E343" s="138"/>
      <c r="F343" s="139" t="s">
        <v>578</v>
      </c>
      <c r="G343" s="140" t="s">
        <v>696</v>
      </c>
      <c r="H343" s="141" t="s">
        <v>602</v>
      </c>
      <c r="I343" s="142"/>
      <c r="J343" s="143"/>
    </row>
    <row r="344" spans="2:10">
      <c r="B344" s="198"/>
      <c r="C344" s="161" t="s">
        <v>279</v>
      </c>
      <c r="D344" s="161">
        <v>106</v>
      </c>
      <c r="E344" s="129" t="str">
        <f>VLOOKUP(LEFT(F344,3),Admin!$A$4:$D$113,4,FALSE)</f>
        <v>O</v>
      </c>
      <c r="F344" s="130" t="s">
        <v>370</v>
      </c>
      <c r="G344" s="131"/>
      <c r="H344" s="132"/>
      <c r="I344" s="133" t="str">
        <f ca="1">IF(E344="n/a", "--&gt;N/A",
IF(COUNTIF(OFFSET(I344,1,0,COUNTIF(listReqCredits,D344)-1),"no")&gt;0,"--&gt; No",
IF(COUNTIF(OFFSET(I344,1,0,COUNTIF(listReqCredits,D344)-1),"n/a")=COUNTIF(listReqCredits,D344)-1,"--&gt; N/A",
IF(COUNTIF(OFFSET(I344,1,0,COUNTIF(listReqCredits,D344)-1),"yes")+COUNTIF(OFFSET(I344,1,0,COUNTIF(listReqCredits,D344)-1),"n/a")+COUNTIF(OFFSET(I344,1,0,COUNTIF(listReqCredits,D344)-1),"pending PV")=COUNTIF(listReqCredits,D344)-1,"--&gt; Yes",
IF(COUNTIF(OFFSET(I344,1,0,COUNTIF(listReqCredits,D344)-1),"yes")+COUNTIF(OFFSET(I344,1,0,COUNTIF(listReqCredits,D344)-1),"maybe")+COUNTIF(OFFSET(I344,1,0,COUNTIF(listReqCredits,D344)-1),"n/a")+COUNTIF(OFFSET(I344,1,0,COUNTIF(listReqCredits,D344)-1),"pending pv")=COUNTIF(listReqCredits,D344)-1,"--&gt; Maybe",
"")))))</f>
        <v/>
      </c>
      <c r="J344" s="134"/>
    </row>
    <row r="345" spans="2:10" ht="120" customHeight="1">
      <c r="B345" s="198"/>
      <c r="C345" s="136"/>
      <c r="D345" s="137">
        <v>106</v>
      </c>
      <c r="E345" s="138"/>
      <c r="F345" s="139" t="s">
        <v>579</v>
      </c>
      <c r="G345" s="140" t="s">
        <v>757</v>
      </c>
      <c r="H345" s="141" t="s">
        <v>602</v>
      </c>
      <c r="I345" s="142"/>
      <c r="J345" s="143"/>
    </row>
    <row r="346" spans="2:10" ht="105" customHeight="1">
      <c r="B346" s="198"/>
      <c r="C346" s="136"/>
      <c r="D346" s="137">
        <v>106</v>
      </c>
      <c r="E346" s="162"/>
      <c r="F346" s="139" t="s">
        <v>580</v>
      </c>
      <c r="G346" s="179" t="s">
        <v>946</v>
      </c>
      <c r="H346" s="141" t="s">
        <v>419</v>
      </c>
      <c r="I346" s="142"/>
      <c r="J346" s="143"/>
    </row>
    <row r="347" spans="2:10">
      <c r="B347" s="198"/>
      <c r="C347" s="161" t="s">
        <v>279</v>
      </c>
      <c r="D347" s="161">
        <v>107</v>
      </c>
      <c r="E347" s="163" t="str">
        <f>VLOOKUP(LEFT(F347,3),Admin!$A$4:$D$113,4,FALSE)</f>
        <v>O</v>
      </c>
      <c r="F347" s="130" t="s">
        <v>371</v>
      </c>
      <c r="G347" s="131"/>
      <c r="H347" s="132"/>
      <c r="I347" s="133" t="str">
        <f ca="1">IF(E347="n/a", "--&gt;N/A",
IF(COUNTIF(OFFSET(I347,1,0,COUNTIF(listReqCredits,D347)-1),"no")&gt;0,"--&gt; No",
IF(COUNTIF(OFFSET(I347,1,0,COUNTIF(listReqCredits,D347)-1),"n/a")=COUNTIF(listReqCredits,D347)-1,"--&gt; N/A",
IF(COUNTIF(OFFSET(I347,1,0,COUNTIF(listReqCredits,D347)-1),"yes")+COUNTIF(OFFSET(I347,1,0,COUNTIF(listReqCredits,D347)-1),"n/a")+COUNTIF(OFFSET(I347,1,0,COUNTIF(listReqCredits,D347)-1),"pending PV")=COUNTIF(listReqCredits,D347)-1,"--&gt; Yes",
IF(COUNTIF(OFFSET(I347,1,0,COUNTIF(listReqCredits,D347)-1),"yes")+COUNTIF(OFFSET(I347,1,0,COUNTIF(listReqCredits,D347)-1),"maybe")+COUNTIF(OFFSET(I347,1,0,COUNTIF(listReqCredits,D347)-1),"n/a")+COUNTIF(OFFSET(I347,1,0,COUNTIF(listReqCredits,D347)-1),"pending pv")=COUNTIF(listReqCredits,D347)-1,"--&gt; Maybe",
"")))))</f>
        <v/>
      </c>
      <c r="J347" s="134"/>
    </row>
    <row r="348" spans="2:10" ht="120" customHeight="1">
      <c r="B348" s="198"/>
      <c r="C348" s="136"/>
      <c r="D348" s="137">
        <v>107</v>
      </c>
      <c r="E348" s="162"/>
      <c r="F348" s="139" t="s">
        <v>581</v>
      </c>
      <c r="G348" s="140" t="s">
        <v>697</v>
      </c>
      <c r="H348" s="141" t="s">
        <v>409</v>
      </c>
      <c r="I348" s="142"/>
      <c r="J348" s="143"/>
    </row>
    <row r="349" spans="2:10" ht="135" customHeight="1">
      <c r="B349" s="198"/>
      <c r="C349" s="136"/>
      <c r="D349" s="137">
        <v>107</v>
      </c>
      <c r="E349" s="162"/>
      <c r="F349" s="152" t="s">
        <v>582</v>
      </c>
      <c r="G349" s="140" t="s">
        <v>698</v>
      </c>
      <c r="H349" s="141" t="s">
        <v>409</v>
      </c>
      <c r="I349" s="142"/>
      <c r="J349" s="143"/>
    </row>
    <row r="350" spans="2:10">
      <c r="B350" s="198"/>
      <c r="C350" s="161" t="s">
        <v>279</v>
      </c>
      <c r="D350" s="161">
        <v>108</v>
      </c>
      <c r="E350" s="163" t="str">
        <f>VLOOKUP(LEFT(F350,3),Admin!$A$4:$D$113,4,FALSE)</f>
        <v>O</v>
      </c>
      <c r="F350" s="130" t="s">
        <v>605</v>
      </c>
      <c r="G350" s="131"/>
      <c r="H350" s="132"/>
      <c r="I350" s="133" t="str">
        <f ca="1">IF(E350="n/a","--&gt;N/A",
IF(COUNTIF(OFFSET(I350,1,0,COUNTIF(listReqCredits,D350)-1),"yes")&gt;0,"--&gt; Yes",
IF(COUNTIF(OFFSET(I350,1,0,COUNTIF(listReqCredits,D350)-1),"n/a")=COUNTIF(listReqCredits,D350)-1,"--&gt; N/A",
IF(COUNTIF(OFFSET(I350,1,0,COUNTIF(listReqCredits,D350)-1),"maybe")+COUNTIF(OFFSET(I350,1,0,COUNTIF(listReqCredits,D350)-1),"n/a")+COUNTIF(OFFSET(I350,1,0,COUNTIF(listReqCredits,D350)-1),"pending pv")+COUNTIF(OFFSET(I350,1,0,COUNTIF(listReqCredits,D350)-1),"no")=COUNTIF(listReqCredits,D350)-1,"--&gt; Maybe",
IF(COUNTIF(OFFSET(I350,1,0,COUNTIF(listReqCredits,D350)-1),"no")+COUNTIF(OFFSET(I350,1,0,COUNTIF(listReqCredits,D350)-1),"n/a")+COUNTIF(OFFSET(I350,1,0,COUNTIF(listReqCredits,D350)-1),"maybe")+COUNTIF(OFFSET(I350,1,0,COUNTIF(listReqCredits,D350)-1),"pending pv")=COUNTIF(listReqCredits,D350)-1,"--&gt; No",
"")))))</f>
        <v/>
      </c>
      <c r="J350" s="134"/>
    </row>
    <row r="351" spans="2:10" ht="105" customHeight="1">
      <c r="B351" s="198"/>
      <c r="C351" s="136"/>
      <c r="D351" s="137">
        <v>108</v>
      </c>
      <c r="E351" s="162"/>
      <c r="F351" s="139" t="s">
        <v>583</v>
      </c>
      <c r="G351" s="140" t="s">
        <v>878</v>
      </c>
      <c r="H351" s="141" t="s">
        <v>600</v>
      </c>
      <c r="I351" s="142"/>
      <c r="J351" s="143"/>
    </row>
    <row r="352" spans="2:10" ht="90" customHeight="1">
      <c r="B352" s="198"/>
      <c r="C352" s="136"/>
      <c r="D352" s="137">
        <v>108</v>
      </c>
      <c r="E352" s="162"/>
      <c r="F352" s="139" t="s">
        <v>584</v>
      </c>
      <c r="G352" s="140" t="s">
        <v>699</v>
      </c>
      <c r="H352" s="141" t="s">
        <v>419</v>
      </c>
      <c r="I352" s="142"/>
      <c r="J352" s="143"/>
    </row>
    <row r="353" spans="2:10">
      <c r="B353" s="198"/>
      <c r="C353" s="161" t="s">
        <v>279</v>
      </c>
      <c r="D353" s="161">
        <v>109</v>
      </c>
      <c r="E353" s="163" t="str">
        <f>VLOOKUP(LEFT(F353,3),Admin!$A$4:$D$113,4,FALSE)</f>
        <v>O</v>
      </c>
      <c r="F353" s="130" t="s">
        <v>372</v>
      </c>
      <c r="G353" s="131"/>
      <c r="H353" s="132"/>
      <c r="I353" s="133" t="str">
        <f ca="1">IF(E353="n/a", "--&gt;N/A",
IF(COUNTIF(OFFSET(I353,1,0,COUNTIF(listReqCredits,D353)-1),"no")&gt;0,"--&gt; No",
IF(COUNTIF(OFFSET(I353,1,0,COUNTIF(listReqCredits,D353)-1),"n/a")=COUNTIF(listReqCredits,D353)-1,"--&gt; N/A",
IF(COUNTIF(OFFSET(I353,1,0,COUNTIF(listReqCredits,D353)-1),"yes")+COUNTIF(OFFSET(I353,1,0,COUNTIF(listReqCredits,D353)-1),"n/a")+COUNTIF(OFFSET(I353,1,0,COUNTIF(listReqCredits,D353)-1),"pending PV")=COUNTIF(listReqCredits,D353)-1,"--&gt; Yes",
IF(COUNTIF(OFFSET(I353,1,0,COUNTIF(listReqCredits,D353)-1),"yes")+COUNTIF(OFFSET(I353,1,0,COUNTIF(listReqCredits,D353)-1),"maybe")+COUNTIF(OFFSET(I353,1,0,COUNTIF(listReqCredits,D353)-1),"n/a")+COUNTIF(OFFSET(I353,1,0,COUNTIF(listReqCredits,D353)-1),"pending pv")=COUNTIF(listReqCredits,D353)-1,"--&gt; Maybe",
"")))))</f>
        <v/>
      </c>
      <c r="J353" s="134"/>
    </row>
    <row r="354" spans="2:10" ht="240" customHeight="1">
      <c r="B354" s="198"/>
      <c r="C354" s="136"/>
      <c r="D354" s="137">
        <v>109</v>
      </c>
      <c r="E354" s="163" t="e">
        <f>VLOOKUP(LEFT(F354,3),Admin!$A$4:$D$113,4,FALSE)</f>
        <v>#N/A</v>
      </c>
      <c r="F354" s="152" t="s">
        <v>585</v>
      </c>
      <c r="G354" s="140" t="s">
        <v>851</v>
      </c>
      <c r="H354" s="141" t="s">
        <v>409</v>
      </c>
      <c r="I354" s="142"/>
      <c r="J354" s="143"/>
    </row>
    <row r="355" spans="2:10">
      <c r="B355" s="198"/>
      <c r="C355" s="161" t="s">
        <v>279</v>
      </c>
      <c r="D355" s="161">
        <v>110</v>
      </c>
      <c r="E355" s="163" t="str">
        <f>VLOOKUP(LEFT(F355,3),Admin!$A$4:$D$113,4,FALSE)</f>
        <v>O</v>
      </c>
      <c r="F355" s="130" t="s">
        <v>373</v>
      </c>
      <c r="G355" s="131"/>
      <c r="H355" s="132"/>
      <c r="I355" s="133" t="str">
        <f ca="1">IF(E355="n/a", "--&gt;N/A",
IF(COUNTIF(OFFSET(I355,1,0,COUNTIF(listReqCredits,D355)-1),"no")&gt;0,"--&gt; No",
IF(COUNTIF(OFFSET(I355,1,0,COUNTIF(listReqCredits,D355)-1),"n/a")=COUNTIF(listReqCredits,D355)-1,"--&gt; N/A",
IF(COUNTIF(OFFSET(I355,1,0,COUNTIF(listReqCredits,D355)-1),"yes")+COUNTIF(OFFSET(I355,1,0,COUNTIF(listReqCredits,D355)-1),"n/a")+COUNTIF(OFFSET(I355,1,0,COUNTIF(listReqCredits,D355)-1),"pending PV")=COUNTIF(listReqCredits,D355)-1,"--&gt; Yes",
IF(COUNTIF(OFFSET(I355,1,0,COUNTIF(listReqCredits,D355)-1),"yes")+COUNTIF(OFFSET(I355,1,0,COUNTIF(listReqCredits,D355)-1),"maybe")+COUNTIF(OFFSET(I355,1,0,COUNTIF(listReqCredits,D355)-1),"n/a")+COUNTIF(OFFSET(I355,1,0,COUNTIF(listReqCredits,D355)-1),"pending pv")=COUNTIF(listReqCredits,D355)-1,"--&gt; Maybe",
"")))))</f>
        <v/>
      </c>
      <c r="J355" s="134"/>
    </row>
    <row r="356" spans="2:10" ht="119">
      <c r="B356" s="198"/>
      <c r="D356" s="102">
        <v>110</v>
      </c>
      <c r="E356" s="163" t="e">
        <f>VLOOKUP(LEFT(F356,3),Admin!$A$4:$D$113,4,FALSE)</f>
        <v>#N/A</v>
      </c>
      <c r="F356" s="164" t="s">
        <v>586</v>
      </c>
      <c r="G356" s="151" t="s">
        <v>758</v>
      </c>
      <c r="H356" s="141" t="s">
        <v>600</v>
      </c>
      <c r="I356" s="142"/>
      <c r="J356" s="165"/>
    </row>
    <row r="357" spans="2:10" ht="102">
      <c r="B357" s="198"/>
      <c r="D357" s="102">
        <v>110</v>
      </c>
      <c r="E357" s="163" t="e">
        <f>VLOOKUP(LEFT(F357,3),Admin!$A$4:$D$113,4,FALSE)</f>
        <v>#N/A</v>
      </c>
      <c r="F357" s="164" t="s">
        <v>587</v>
      </c>
      <c r="G357" s="151" t="s">
        <v>700</v>
      </c>
      <c r="H357" s="141" t="s">
        <v>600</v>
      </c>
      <c r="I357" s="142"/>
      <c r="J357" s="165"/>
    </row>
    <row r="358" spans="2:10">
      <c r="B358" s="197" t="s">
        <v>705</v>
      </c>
      <c r="C358" s="166" t="s">
        <v>629</v>
      </c>
      <c r="D358" s="166">
        <v>111</v>
      </c>
      <c r="E358" s="163" t="str">
        <f>VLOOKUP(LEFT(F358,3),Admin!$A$4:$D$117,4,FALSE)</f>
        <v>O</v>
      </c>
      <c r="F358" s="130" t="s">
        <v>637</v>
      </c>
      <c r="G358" s="131"/>
      <c r="H358" s="132"/>
      <c r="I358" s="133" t="str">
        <f ca="1">IF(E358="n/a", "--&gt;N/A",
IF(COUNTIF(OFFSET(I358,1,0,COUNTIF(listReqCredits,D358)-1),"no")&gt;0,"--&gt; No",
IF(COUNTIF(OFFSET(I358,1,0,COUNTIF(listReqCredits,D358)-1),"n/a")=COUNTIF(listReqCredits,D358)-1,"--&gt; N/A",
IF(COUNTIF(OFFSET(I358,1,0,COUNTIF(listReqCredits,D358)-1),"yes")+COUNTIF(OFFSET(I358,1,0,COUNTIF(listReqCredits,D358)-1),"n/a")+COUNTIF(OFFSET(I358,1,0,COUNTIF(listReqCredits,D358)-1),"pending PV")=COUNTIF(listReqCredits,D358)-1,"--&gt; Yes (10 pts)",
IF(COUNTIF(OFFSET(I358,1,0,COUNTIF(listReqCredits,D358)-1),"yes")+COUNTIF(OFFSET(I358,1,0,COUNTIF(listReqCredits,D358)-1),"maybe")+COUNTIF(OFFSET(I358,1,0,COUNTIF(listReqCredits,D358)-1),"n/a")+COUNTIF(OFFSET(I358,1,0,COUNTIF(listReqCredits,D358)-1),"pending pv")=COUNTIF(listReqCredits,D358)-1,"--&gt; Maybe",
"")))))</f>
        <v/>
      </c>
      <c r="J358" s="134"/>
    </row>
    <row r="359" spans="2:10" ht="119">
      <c r="B359" s="197"/>
      <c r="D359" s="102">
        <v>111</v>
      </c>
      <c r="E359" s="163" t="e">
        <f>VLOOKUP(LEFT(F359,3),Admin!$A$4:$D$113,4,FALSE)</f>
        <v>#N/A</v>
      </c>
      <c r="F359" s="167" t="s">
        <v>588</v>
      </c>
      <c r="G359" s="151" t="s">
        <v>701</v>
      </c>
      <c r="H359" s="151" t="s">
        <v>636</v>
      </c>
      <c r="I359" s="142"/>
      <c r="J359" s="168" t="str">
        <f>IF(OR(I359="Yes",I359="maybe"),10,"")</f>
        <v/>
      </c>
    </row>
    <row r="360" spans="2:10" ht="34">
      <c r="B360" s="197"/>
      <c r="C360" s="166" t="s">
        <v>629</v>
      </c>
      <c r="D360" s="166">
        <v>112</v>
      </c>
      <c r="E360" s="163" t="str">
        <f>VLOOKUP(LEFT(F360,3),Admin!$A$4:$D$117,4,FALSE)</f>
        <v>O</v>
      </c>
      <c r="F360" s="130" t="s">
        <v>879</v>
      </c>
      <c r="G360" s="131"/>
      <c r="H360" s="132"/>
      <c r="I360" s="169" t="str">
        <f ca="1">IF(E360="n/a", "--&gt;N/A",
IF(COUNTIF(OFFSET(I360,1,0,COUNTIF(listReqCredits,D360)-1),"no")&gt;0,"--&gt; No",
IF(COUNTIF(OFFSET(I360,1,0,COUNTIF(listReqCredits,D360)-1),"n/a")=COUNTIF(listReqCredits,D360)-1,"--&gt; N/A",
IF(COUNTIF(OFFSET(I360,1,0,COUNTIF(listReqCredits,D360)-1),"yes")+COUNTIF(OFFSET(I360,1,0,COUNTIF(listReqCredits,D360)-1),"n/a")+COUNTIF(OFFSET(I360,1,0,COUNTIF(listReqCredits,D360)-1),"pending PV")=COUNTIF(listReqCredits,D360)-1,"--&gt; Yes" &amp;" ("  &amp; J361 &amp; " pts)",
IF(COUNTIF(OFFSET(I360,1,0,COUNTIF(listReqCredits,D360)-1),"yes")+COUNTIF(OFFSET(I360,1,0,COUNTIF(listReqCredits,D360)-1),"maybe")+COUNTIF(OFFSET(I360,1,0,COUNTIF(listReqCredits,D360)-1),"n/a")+COUNTIF(OFFSET(I360,1,0,COUNTIF(listReqCredits,D360)-1),"pending pv")=COUNTIF(listReqCredits,D360)-1,"--&gt; Maybe",
"")))))</f>
        <v/>
      </c>
      <c r="J360" s="170" t="s">
        <v>771</v>
      </c>
    </row>
    <row r="361" spans="2:10" ht="102">
      <c r="B361" s="197"/>
      <c r="D361" s="102">
        <v>112</v>
      </c>
      <c r="E361" s="163" t="e">
        <f>VLOOKUP(LEFT(F361,3),Admin!$A$4:$D$113,4,FALSE)</f>
        <v>#N/A</v>
      </c>
      <c r="F361" s="164" t="s">
        <v>589</v>
      </c>
      <c r="G361" s="151" t="s">
        <v>639</v>
      </c>
      <c r="H361" s="151" t="s">
        <v>638</v>
      </c>
      <c r="I361" s="142"/>
      <c r="J361" s="168"/>
    </row>
    <row r="362" spans="2:10" ht="34">
      <c r="B362" s="197"/>
      <c r="C362" s="166" t="s">
        <v>629</v>
      </c>
      <c r="D362" s="166">
        <v>113</v>
      </c>
      <c r="E362" s="129" t="str">
        <f>VLOOKUP(LEFT(F362,3),Admin!$A$4:$D$117,4,FALSE)</f>
        <v>O</v>
      </c>
      <c r="F362" s="130" t="s">
        <v>880</v>
      </c>
      <c r="G362" s="131"/>
      <c r="H362" s="132"/>
      <c r="I362" s="169" t="str">
        <f ca="1">IF(E362="n/a", "--&gt;N/A",
IF(COUNTIF(OFFSET(I362,1,0,COUNTIF(listReqCredits,D362)-1),"no")&gt;0,"--&gt; No",
IF(COUNTIF(OFFSET(I362,1,0,COUNTIF(listReqCredits,D362)-1),"n/a")=COUNTIF(listReqCredits,D362)-1,"--&gt; N/A",
IF(COUNTIF(OFFSET(I362,1,0,COUNTIF(listReqCredits,D362)-1),"yes")+COUNTIF(OFFSET(I362,1,0,COUNTIF(listReqCredits,D362)-1),"n/a")+COUNTIF(OFFSET(I362,1,0,COUNTIF(listReqCredits,D362)-1),"pending PV")=COUNTIF(listReqCredits,D362)-1,"--&gt; Yes" &amp;" ("  &amp; J363 &amp; " pts)",
IF(COUNTIF(OFFSET(I362,1,0,COUNTIF(listReqCredits,D362)-1),"yes")+COUNTIF(OFFSET(I362,1,0,COUNTIF(listReqCredits,D362)-1),"maybe")+COUNTIF(OFFSET(I362,1,0,COUNTIF(listReqCredits,D362)-1),"n/a")+COUNTIF(OFFSET(I362,1,0,COUNTIF(listReqCredits,D362)-1),"pending pv")=COUNTIF(listReqCredits,D362)-1,"--&gt; Maybe",
"")))))</f>
        <v/>
      </c>
      <c r="J362" s="170" t="s">
        <v>771</v>
      </c>
    </row>
    <row r="363" spans="2:10" ht="102">
      <c r="B363" s="197"/>
      <c r="D363" s="102">
        <v>113</v>
      </c>
      <c r="E363" s="129" t="e">
        <f>VLOOKUP(LEFT(F363,3),Admin!$A$4:$D$113,4,FALSE)</f>
        <v>#N/A</v>
      </c>
      <c r="F363" s="164" t="s">
        <v>590</v>
      </c>
      <c r="G363" s="151" t="s">
        <v>759</v>
      </c>
      <c r="H363" s="151" t="s">
        <v>640</v>
      </c>
      <c r="I363" s="142"/>
      <c r="J363" s="186"/>
    </row>
    <row r="364" spans="2:10" ht="85">
      <c r="B364" s="197"/>
      <c r="D364" s="102">
        <v>113</v>
      </c>
      <c r="E364" s="129" t="e">
        <f>VLOOKUP(LEFT(F364,3),Admin!$A$4:$D$113,4,FALSE)</f>
        <v>#N/A</v>
      </c>
      <c r="F364" s="164" t="s">
        <v>591</v>
      </c>
      <c r="G364" s="151" t="s">
        <v>760</v>
      </c>
      <c r="H364" s="151" t="s">
        <v>638</v>
      </c>
      <c r="I364" s="142"/>
      <c r="J364" s="187"/>
    </row>
    <row r="365" spans="2:10">
      <c r="B365" s="197"/>
      <c r="C365" s="166" t="s">
        <v>629</v>
      </c>
      <c r="D365" s="166">
        <v>114</v>
      </c>
      <c r="E365" s="129" t="str">
        <f>VLOOKUP(LEFT(F365,3),Admin!$A$4:$D$117,4,FALSE)</f>
        <v>O</v>
      </c>
      <c r="F365" s="130" t="s">
        <v>641</v>
      </c>
      <c r="G365" s="131"/>
      <c r="H365" s="132"/>
      <c r="I365" s="133" t="str">
        <f ca="1">IF(E365="n/a", "--&gt;N/A",
IF(COUNTIF(OFFSET(I365,1,0,COUNTIF(listReqCredits,D365)-1),"no")&gt;0,"--&gt; No",
IF(COUNTIF(OFFSET(I365,1,0,COUNTIF(listReqCredits,D365)-1),"n/a")=COUNTIF(listReqCredits,D365)-1,"--&gt; N/A",
IF(COUNTIF(OFFSET(I365,1,0,COUNTIF(listReqCredits,D365)-1),"yes")+COUNTIF(OFFSET(I365,1,0,COUNTIF(listReqCredits,D365)-1),"n/a")+COUNTIF(OFFSET(I365,1,0,COUNTIF(listReqCredits,D365)-1),"pending PV")=COUNTIF(listReqCredits,D365)-1,"--&gt; Yes" &amp;  " (1 pt)",
IF(COUNTIF(OFFSET(I365,1,0,COUNTIF(listReqCredits,D365)-1),"yes")+COUNTIF(OFFSET(I365,1,0,COUNTIF(listReqCredits,D365)-1),"maybe")+COUNTIF(OFFSET(I365,1,0,COUNTIF(listReqCredits,D365)-1),"n/a")+COUNTIF(OFFSET(I365,1,0,COUNTIF(listReqCredits,D365)-1),"pending pv")=COUNTIF(listReqCredits,D365)-1,"--&gt; Maybe",
"")))))</f>
        <v/>
      </c>
      <c r="J365" s="134"/>
    </row>
    <row r="366" spans="2:10" ht="85">
      <c r="B366" s="197"/>
      <c r="D366" s="102">
        <v>114</v>
      </c>
      <c r="E366" s="129" t="e">
        <f>VLOOKUP(LEFT(F366,3),Admin!$A$4:$D$113,4,FALSE)</f>
        <v>#N/A</v>
      </c>
      <c r="F366" s="164" t="s">
        <v>592</v>
      </c>
      <c r="G366" s="151" t="s">
        <v>643</v>
      </c>
      <c r="H366" s="151" t="s">
        <v>642</v>
      </c>
      <c r="I366" s="142"/>
      <c r="J366" s="168" t="str">
        <f>IF(OR(I366="Yes",I366="maybe"),1,"")</f>
        <v/>
      </c>
    </row>
    <row r="369" spans="1:1">
      <c r="A369" s="180" t="s">
        <v>957</v>
      </c>
    </row>
  </sheetData>
  <sheetProtection formatCells="0" formatColumns="0" formatRows="0" autoFilter="0"/>
  <dataConsolidate/>
  <mergeCells count="14">
    <mergeCell ref="B12:F12"/>
    <mergeCell ref="J363:J364"/>
    <mergeCell ref="B204:B231"/>
    <mergeCell ref="B100:B128"/>
    <mergeCell ref="B129:B159"/>
    <mergeCell ref="B160:B203"/>
    <mergeCell ref="F22:G22"/>
    <mergeCell ref="B28:B59"/>
    <mergeCell ref="B60:B99"/>
    <mergeCell ref="B358:B366"/>
    <mergeCell ref="B302:B357"/>
    <mergeCell ref="B232:B244"/>
    <mergeCell ref="B245:B264"/>
    <mergeCell ref="B265:B301"/>
  </mergeCells>
  <phoneticPr fontId="5" type="noConversion"/>
  <conditionalFormatting sqref="I32 I37 I34 I40 I43 I46 I49 I51 I54 I57 I60 I67 I71 I76 I78 I82 I88 I93 I96 I98 I100 I103 I105 I108 I110 I113 I116 I118 I124 I126 I129 I132 I134 I137 I144 I150 I154 I156 I160 I162 I165 I170 I174 I176 I184 I186 I189 I191 I194 I197 I200 I202 I204 I208 I211 I214 I217 I220 I224 I227 I229 I232 I234 I236 I238 I240 I242 I245 I247 I249 I251 I256 I260 I262 I265 I268 I272 I274 I276 I278">
    <cfRule type="cellIs" dxfId="1295" priority="1903" operator="equal">
      <formula>"no"</formula>
    </cfRule>
    <cfRule type="cellIs" dxfId="1294" priority="1904" operator="equal">
      <formula>"n/a"</formula>
    </cfRule>
    <cfRule type="cellIs" dxfId="1293" priority="1905" operator="equal">
      <formula>"maybe"</formula>
    </cfRule>
    <cfRule type="cellIs" dxfId="1292" priority="1906" operator="equal">
      <formula>"yes"</formula>
    </cfRule>
    <cfRule type="cellIs" dxfId="1291" priority="1907" operator="equal">
      <formula>"pending PV"</formula>
    </cfRule>
  </conditionalFormatting>
  <conditionalFormatting sqref="I280">
    <cfRule type="cellIs" dxfId="1290" priority="1898" operator="equal">
      <formula>"no"</formula>
    </cfRule>
    <cfRule type="cellIs" dxfId="1289" priority="1899" operator="equal">
      <formula>"n/a"</formula>
    </cfRule>
    <cfRule type="cellIs" dxfId="1288" priority="1900" operator="equal">
      <formula>"maybe"</formula>
    </cfRule>
    <cfRule type="cellIs" dxfId="1287" priority="1901" operator="equal">
      <formula>"yes"</formula>
    </cfRule>
    <cfRule type="cellIs" dxfId="1286" priority="1902" operator="equal">
      <formula>"pending PV"</formula>
    </cfRule>
  </conditionalFormatting>
  <conditionalFormatting sqref="I282">
    <cfRule type="cellIs" dxfId="1285" priority="1893" operator="equal">
      <formula>"no"</formula>
    </cfRule>
    <cfRule type="cellIs" dxfId="1284" priority="1894" operator="equal">
      <formula>"n/a"</formula>
    </cfRule>
    <cfRule type="cellIs" dxfId="1283" priority="1895" operator="equal">
      <formula>"maybe"</formula>
    </cfRule>
    <cfRule type="cellIs" dxfId="1282" priority="1896" operator="equal">
      <formula>"yes"</formula>
    </cfRule>
    <cfRule type="cellIs" dxfId="1281" priority="1897" operator="equal">
      <formula>"pending PV"</formula>
    </cfRule>
  </conditionalFormatting>
  <conditionalFormatting sqref="I285">
    <cfRule type="cellIs" dxfId="1280" priority="1888" operator="equal">
      <formula>"no"</formula>
    </cfRule>
    <cfRule type="cellIs" dxfId="1279" priority="1889" operator="equal">
      <formula>"n/a"</formula>
    </cfRule>
    <cfRule type="cellIs" dxfId="1278" priority="1890" operator="equal">
      <formula>"maybe"</formula>
    </cfRule>
    <cfRule type="cellIs" dxfId="1277" priority="1891" operator="equal">
      <formula>"yes"</formula>
    </cfRule>
    <cfRule type="cellIs" dxfId="1276" priority="1892" operator="equal">
      <formula>"pending PV"</formula>
    </cfRule>
  </conditionalFormatting>
  <conditionalFormatting sqref="E1:E1048576">
    <cfRule type="cellIs" dxfId="1275" priority="1886" operator="equal">
      <formula>"O"</formula>
    </cfRule>
    <cfRule type="cellIs" dxfId="1274" priority="1887" operator="equal">
      <formula>"P"</formula>
    </cfRule>
  </conditionalFormatting>
  <conditionalFormatting sqref="I29">
    <cfRule type="cellIs" dxfId="1273" priority="1845" operator="equal">
      <formula>"Maybe"</formula>
    </cfRule>
  </conditionalFormatting>
  <conditionalFormatting sqref="I29">
    <cfRule type="cellIs" dxfId="1272" priority="1839" operator="equal">
      <formula>"no"</formula>
    </cfRule>
    <cfRule type="cellIs" dxfId="1271" priority="1840" operator="equal">
      <formula>"N/A"</formula>
    </cfRule>
    <cfRule type="cellIs" dxfId="1270" priority="1841" operator="equal">
      <formula>"Maybe"</formula>
    </cfRule>
    <cfRule type="cellIs" dxfId="1269" priority="1842" operator="equal">
      <formula>"Yes"</formula>
    </cfRule>
    <cfRule type="cellIs" dxfId="1268" priority="1843" operator="equal">
      <formula>"Pending PV"</formula>
    </cfRule>
    <cfRule type="cellIs" dxfId="1267" priority="1844" operator="equal">
      <formula>"N/A"</formula>
    </cfRule>
    <cfRule type="cellIs" dxfId="1266" priority="1846" operator="equal">
      <formula>"Yes"</formula>
    </cfRule>
    <cfRule type="cellIs" dxfId="1265" priority="1847" operator="equal">
      <formula>"Pending PV"</formula>
    </cfRule>
  </conditionalFormatting>
  <conditionalFormatting sqref="I33 I36">
    <cfRule type="cellIs" dxfId="1264" priority="1809" operator="equal">
      <formula>"Maybe"</formula>
    </cfRule>
  </conditionalFormatting>
  <conditionalFormatting sqref="I33 I36">
    <cfRule type="cellIs" dxfId="1263" priority="1803" operator="equal">
      <formula>"no"</formula>
    </cfRule>
    <cfRule type="cellIs" dxfId="1262" priority="1804" operator="equal">
      <formula>"N/A"</formula>
    </cfRule>
    <cfRule type="cellIs" dxfId="1261" priority="1805" operator="equal">
      <formula>"Maybe"</formula>
    </cfRule>
    <cfRule type="cellIs" dxfId="1260" priority="1806" operator="equal">
      <formula>"Yes"</formula>
    </cfRule>
    <cfRule type="cellIs" dxfId="1259" priority="1807" operator="equal">
      <formula>"Pending PV"</formula>
    </cfRule>
    <cfRule type="cellIs" dxfId="1258" priority="1808" operator="equal">
      <formula>"N/A"</formula>
    </cfRule>
    <cfRule type="cellIs" dxfId="1257" priority="1810" operator="equal">
      <formula>"Yes"</formula>
    </cfRule>
    <cfRule type="cellIs" dxfId="1256" priority="1811" operator="equal">
      <formula>"Pending PV"</formula>
    </cfRule>
  </conditionalFormatting>
  <conditionalFormatting sqref="I288">
    <cfRule type="cellIs" dxfId="1255" priority="1735" operator="equal">
      <formula>"no"</formula>
    </cfRule>
    <cfRule type="cellIs" dxfId="1254" priority="1736" operator="equal">
      <formula>"n/a"</formula>
    </cfRule>
    <cfRule type="cellIs" dxfId="1253" priority="1737" operator="equal">
      <formula>"maybe"</formula>
    </cfRule>
    <cfRule type="cellIs" dxfId="1252" priority="1738" operator="equal">
      <formula>"yes"</formula>
    </cfRule>
    <cfRule type="cellIs" dxfId="1251" priority="1739" operator="equal">
      <formula>"pending PV"</formula>
    </cfRule>
  </conditionalFormatting>
  <conditionalFormatting sqref="I360 I358 I355 I353 I347 I344 I340 I334 I330 I328 I326 I323 I319 I315 I313 I309 I306 I304 I302 I299 I295 I292 I362 I365">
    <cfRule type="cellIs" dxfId="1250" priority="1730" operator="equal">
      <formula>"no"</formula>
    </cfRule>
    <cfRule type="cellIs" dxfId="1249" priority="1731" operator="equal">
      <formula>"n/a"</formula>
    </cfRule>
    <cfRule type="cellIs" dxfId="1248" priority="1732" operator="equal">
      <formula>"maybe"</formula>
    </cfRule>
    <cfRule type="cellIs" dxfId="1247" priority="1733" operator="equal">
      <formula>"yes"</formula>
    </cfRule>
    <cfRule type="cellIs" dxfId="1246" priority="1734" operator="equal">
      <formula>"pending PV"</formula>
    </cfRule>
  </conditionalFormatting>
  <conditionalFormatting sqref="I30">
    <cfRule type="cellIs" dxfId="1245" priority="1727" operator="equal">
      <formula>"Maybe"</formula>
    </cfRule>
  </conditionalFormatting>
  <conditionalFormatting sqref="I30">
    <cfRule type="cellIs" dxfId="1244" priority="1721" operator="equal">
      <formula>"no"</formula>
    </cfRule>
    <cfRule type="cellIs" dxfId="1243" priority="1722" operator="equal">
      <formula>"N/A"</formula>
    </cfRule>
    <cfRule type="cellIs" dxfId="1242" priority="1723" operator="equal">
      <formula>"Maybe"</formula>
    </cfRule>
    <cfRule type="cellIs" dxfId="1241" priority="1724" operator="equal">
      <formula>"Yes"</formula>
    </cfRule>
    <cfRule type="cellIs" dxfId="1240" priority="1725" operator="equal">
      <formula>"Pending PV"</formula>
    </cfRule>
    <cfRule type="cellIs" dxfId="1239" priority="1726" operator="equal">
      <formula>"N/A"</formula>
    </cfRule>
    <cfRule type="cellIs" dxfId="1238" priority="1728" operator="equal">
      <formula>"Yes"</formula>
    </cfRule>
    <cfRule type="cellIs" dxfId="1237" priority="1729" operator="equal">
      <formula>"Pending PV"</formula>
    </cfRule>
  </conditionalFormatting>
  <conditionalFormatting sqref="I31">
    <cfRule type="cellIs" dxfId="1236" priority="1718" operator="equal">
      <formula>"Maybe"</formula>
    </cfRule>
  </conditionalFormatting>
  <conditionalFormatting sqref="I31">
    <cfRule type="cellIs" dxfId="1235" priority="1712" operator="equal">
      <formula>"no"</formula>
    </cfRule>
    <cfRule type="cellIs" dxfId="1234" priority="1713" operator="equal">
      <formula>"N/A"</formula>
    </cfRule>
    <cfRule type="cellIs" dxfId="1233" priority="1714" operator="equal">
      <formula>"Maybe"</formula>
    </cfRule>
    <cfRule type="cellIs" dxfId="1232" priority="1715" operator="equal">
      <formula>"Yes"</formula>
    </cfRule>
    <cfRule type="cellIs" dxfId="1231" priority="1716" operator="equal">
      <formula>"Pending PV"</formula>
    </cfRule>
    <cfRule type="cellIs" dxfId="1230" priority="1717" operator="equal">
      <formula>"N/A"</formula>
    </cfRule>
    <cfRule type="cellIs" dxfId="1229" priority="1719" operator="equal">
      <formula>"Yes"</formula>
    </cfRule>
    <cfRule type="cellIs" dxfId="1228" priority="1720" operator="equal">
      <formula>"Pending PV"</formula>
    </cfRule>
  </conditionalFormatting>
  <conditionalFormatting sqref="I35">
    <cfRule type="cellIs" dxfId="1227" priority="1700" operator="equal">
      <formula>"Maybe"</formula>
    </cfRule>
  </conditionalFormatting>
  <conditionalFormatting sqref="I35">
    <cfRule type="cellIs" dxfId="1226" priority="1694" operator="equal">
      <formula>"no"</formula>
    </cfRule>
    <cfRule type="cellIs" dxfId="1225" priority="1695" operator="equal">
      <formula>"N/A"</formula>
    </cfRule>
    <cfRule type="cellIs" dxfId="1224" priority="1696" operator="equal">
      <formula>"Maybe"</formula>
    </cfRule>
    <cfRule type="cellIs" dxfId="1223" priority="1697" operator="equal">
      <formula>"Yes"</formula>
    </cfRule>
    <cfRule type="cellIs" dxfId="1222" priority="1698" operator="equal">
      <formula>"Pending PV"</formula>
    </cfRule>
    <cfRule type="cellIs" dxfId="1221" priority="1699" operator="equal">
      <formula>"N/A"</formula>
    </cfRule>
    <cfRule type="cellIs" dxfId="1220" priority="1701" operator="equal">
      <formula>"Yes"</formula>
    </cfRule>
    <cfRule type="cellIs" dxfId="1219" priority="1702" operator="equal">
      <formula>"Pending PV"</formula>
    </cfRule>
  </conditionalFormatting>
  <conditionalFormatting sqref="I50">
    <cfRule type="cellIs" dxfId="1218" priority="1601" operator="equal">
      <formula>"Maybe"</formula>
    </cfRule>
  </conditionalFormatting>
  <conditionalFormatting sqref="I50">
    <cfRule type="cellIs" dxfId="1217" priority="1595" operator="equal">
      <formula>"no"</formula>
    </cfRule>
    <cfRule type="cellIs" dxfId="1216" priority="1596" operator="equal">
      <formula>"N/A"</formula>
    </cfRule>
    <cfRule type="cellIs" dxfId="1215" priority="1597" operator="equal">
      <formula>"Maybe"</formula>
    </cfRule>
    <cfRule type="cellIs" dxfId="1214" priority="1598" operator="equal">
      <formula>"Yes"</formula>
    </cfRule>
    <cfRule type="cellIs" dxfId="1213" priority="1599" operator="equal">
      <formula>"Pending PV"</formula>
    </cfRule>
    <cfRule type="cellIs" dxfId="1212" priority="1600" operator="equal">
      <formula>"N/A"</formula>
    </cfRule>
    <cfRule type="cellIs" dxfId="1211" priority="1602" operator="equal">
      <formula>"Yes"</formula>
    </cfRule>
    <cfRule type="cellIs" dxfId="1210" priority="1603" operator="equal">
      <formula>"Pending PV"</formula>
    </cfRule>
  </conditionalFormatting>
  <conditionalFormatting sqref="I52">
    <cfRule type="cellIs" dxfId="1209" priority="1592" operator="equal">
      <formula>"Maybe"</formula>
    </cfRule>
  </conditionalFormatting>
  <conditionalFormatting sqref="I52">
    <cfRule type="cellIs" dxfId="1208" priority="1586" operator="equal">
      <formula>"no"</formula>
    </cfRule>
    <cfRule type="cellIs" dxfId="1207" priority="1587" operator="equal">
      <formula>"N/A"</formula>
    </cfRule>
    <cfRule type="cellIs" dxfId="1206" priority="1588" operator="equal">
      <formula>"Maybe"</formula>
    </cfRule>
    <cfRule type="cellIs" dxfId="1205" priority="1589" operator="equal">
      <formula>"Yes"</formula>
    </cfRule>
    <cfRule type="cellIs" dxfId="1204" priority="1590" operator="equal">
      <formula>"Pending PV"</formula>
    </cfRule>
    <cfRule type="cellIs" dxfId="1203" priority="1591" operator="equal">
      <formula>"N/A"</formula>
    </cfRule>
    <cfRule type="cellIs" dxfId="1202" priority="1593" operator="equal">
      <formula>"Yes"</formula>
    </cfRule>
    <cfRule type="cellIs" dxfId="1201" priority="1594" operator="equal">
      <formula>"Pending PV"</formula>
    </cfRule>
  </conditionalFormatting>
  <conditionalFormatting sqref="I53">
    <cfRule type="cellIs" dxfId="1200" priority="1583" operator="equal">
      <formula>"Maybe"</formula>
    </cfRule>
  </conditionalFormatting>
  <conditionalFormatting sqref="I53">
    <cfRule type="cellIs" dxfId="1199" priority="1577" operator="equal">
      <formula>"no"</formula>
    </cfRule>
    <cfRule type="cellIs" dxfId="1198" priority="1578" operator="equal">
      <formula>"N/A"</formula>
    </cfRule>
    <cfRule type="cellIs" dxfId="1197" priority="1579" operator="equal">
      <formula>"Maybe"</formula>
    </cfRule>
    <cfRule type="cellIs" dxfId="1196" priority="1580" operator="equal">
      <formula>"Yes"</formula>
    </cfRule>
    <cfRule type="cellIs" dxfId="1195" priority="1581" operator="equal">
      <formula>"Pending PV"</formula>
    </cfRule>
    <cfRule type="cellIs" dxfId="1194" priority="1582" operator="equal">
      <formula>"N/A"</formula>
    </cfRule>
    <cfRule type="cellIs" dxfId="1193" priority="1584" operator="equal">
      <formula>"Yes"</formula>
    </cfRule>
    <cfRule type="cellIs" dxfId="1192" priority="1585" operator="equal">
      <formula>"Pending PV"</formula>
    </cfRule>
  </conditionalFormatting>
  <conditionalFormatting sqref="I55">
    <cfRule type="cellIs" dxfId="1191" priority="1574" operator="equal">
      <formula>"Maybe"</formula>
    </cfRule>
  </conditionalFormatting>
  <conditionalFormatting sqref="I55">
    <cfRule type="cellIs" dxfId="1190" priority="1568" operator="equal">
      <formula>"no"</formula>
    </cfRule>
    <cfRule type="cellIs" dxfId="1189" priority="1569" operator="equal">
      <formula>"N/A"</formula>
    </cfRule>
    <cfRule type="cellIs" dxfId="1188" priority="1570" operator="equal">
      <formula>"Maybe"</formula>
    </cfRule>
    <cfRule type="cellIs" dxfId="1187" priority="1571" operator="equal">
      <formula>"Yes"</formula>
    </cfRule>
    <cfRule type="cellIs" dxfId="1186" priority="1572" operator="equal">
      <formula>"Pending PV"</formula>
    </cfRule>
    <cfRule type="cellIs" dxfId="1185" priority="1573" operator="equal">
      <formula>"N/A"</formula>
    </cfRule>
    <cfRule type="cellIs" dxfId="1184" priority="1575" operator="equal">
      <formula>"Yes"</formula>
    </cfRule>
    <cfRule type="cellIs" dxfId="1183" priority="1576" operator="equal">
      <formula>"Pending PV"</formula>
    </cfRule>
  </conditionalFormatting>
  <conditionalFormatting sqref="I56">
    <cfRule type="cellIs" dxfId="1182" priority="1565" operator="equal">
      <formula>"Maybe"</formula>
    </cfRule>
  </conditionalFormatting>
  <conditionalFormatting sqref="I56">
    <cfRule type="cellIs" dxfId="1181" priority="1559" operator="equal">
      <formula>"no"</formula>
    </cfRule>
    <cfRule type="cellIs" dxfId="1180" priority="1560" operator="equal">
      <formula>"N/A"</formula>
    </cfRule>
    <cfRule type="cellIs" dxfId="1179" priority="1561" operator="equal">
      <formula>"Maybe"</formula>
    </cfRule>
    <cfRule type="cellIs" dxfId="1178" priority="1562" operator="equal">
      <formula>"Yes"</formula>
    </cfRule>
    <cfRule type="cellIs" dxfId="1177" priority="1563" operator="equal">
      <formula>"Pending PV"</formula>
    </cfRule>
    <cfRule type="cellIs" dxfId="1176" priority="1564" operator="equal">
      <formula>"N/A"</formula>
    </cfRule>
    <cfRule type="cellIs" dxfId="1175" priority="1566" operator="equal">
      <formula>"Yes"</formula>
    </cfRule>
    <cfRule type="cellIs" dxfId="1174" priority="1567" operator="equal">
      <formula>"Pending PV"</formula>
    </cfRule>
  </conditionalFormatting>
  <conditionalFormatting sqref="I58">
    <cfRule type="cellIs" dxfId="1173" priority="1556" operator="equal">
      <formula>"Maybe"</formula>
    </cfRule>
  </conditionalFormatting>
  <conditionalFormatting sqref="I58">
    <cfRule type="cellIs" dxfId="1172" priority="1550" operator="equal">
      <formula>"no"</formula>
    </cfRule>
    <cfRule type="cellIs" dxfId="1171" priority="1551" operator="equal">
      <formula>"N/A"</formula>
    </cfRule>
    <cfRule type="cellIs" dxfId="1170" priority="1552" operator="equal">
      <formula>"Maybe"</formula>
    </cfRule>
    <cfRule type="cellIs" dxfId="1169" priority="1553" operator="equal">
      <formula>"Yes"</formula>
    </cfRule>
    <cfRule type="cellIs" dxfId="1168" priority="1554" operator="equal">
      <formula>"Pending PV"</formula>
    </cfRule>
    <cfRule type="cellIs" dxfId="1167" priority="1555" operator="equal">
      <formula>"N/A"</formula>
    </cfRule>
    <cfRule type="cellIs" dxfId="1166" priority="1557" operator="equal">
      <formula>"Yes"</formula>
    </cfRule>
    <cfRule type="cellIs" dxfId="1165" priority="1558" operator="equal">
      <formula>"Pending PV"</formula>
    </cfRule>
  </conditionalFormatting>
  <conditionalFormatting sqref="I59">
    <cfRule type="cellIs" dxfId="1164" priority="1547" operator="equal">
      <formula>"Maybe"</formula>
    </cfRule>
  </conditionalFormatting>
  <conditionalFormatting sqref="I59">
    <cfRule type="cellIs" dxfId="1163" priority="1541" operator="equal">
      <formula>"no"</formula>
    </cfRule>
    <cfRule type="cellIs" dxfId="1162" priority="1542" operator="equal">
      <formula>"N/A"</formula>
    </cfRule>
    <cfRule type="cellIs" dxfId="1161" priority="1543" operator="equal">
      <formula>"Maybe"</formula>
    </cfRule>
    <cfRule type="cellIs" dxfId="1160" priority="1544" operator="equal">
      <formula>"Yes"</formula>
    </cfRule>
    <cfRule type="cellIs" dxfId="1159" priority="1545" operator="equal">
      <formula>"Pending PV"</formula>
    </cfRule>
    <cfRule type="cellIs" dxfId="1158" priority="1546" operator="equal">
      <formula>"N/A"</formula>
    </cfRule>
    <cfRule type="cellIs" dxfId="1157" priority="1548" operator="equal">
      <formula>"Yes"</formula>
    </cfRule>
    <cfRule type="cellIs" dxfId="1156" priority="1549" operator="equal">
      <formula>"Pending PV"</formula>
    </cfRule>
  </conditionalFormatting>
  <conditionalFormatting sqref="I90 I47:I48 I44:I45 I41:I42 I38:I39 I68:I70 I61:I66 I77">
    <cfRule type="cellIs" dxfId="1155" priority="1457" operator="equal">
      <formula>"Maybe"</formula>
    </cfRule>
  </conditionalFormatting>
  <conditionalFormatting sqref="I90 I47:I48 I44:I45 I41:I42 I38:I39 I68:I70 I61:I66 I77">
    <cfRule type="cellIs" dxfId="1154" priority="1451" operator="equal">
      <formula>"no"</formula>
    </cfRule>
    <cfRule type="cellIs" dxfId="1153" priority="1452" operator="equal">
      <formula>"N/A"</formula>
    </cfRule>
    <cfRule type="cellIs" dxfId="1152" priority="1453" operator="equal">
      <formula>"Maybe"</formula>
    </cfRule>
    <cfRule type="cellIs" dxfId="1151" priority="1454" operator="equal">
      <formula>"Yes"</formula>
    </cfRule>
    <cfRule type="cellIs" dxfId="1150" priority="1455" operator="equal">
      <formula>"Pending PV"</formula>
    </cfRule>
    <cfRule type="cellIs" dxfId="1149" priority="1456" operator="equal">
      <formula>"N/A"</formula>
    </cfRule>
    <cfRule type="cellIs" dxfId="1148" priority="1458" operator="equal">
      <formula>"Yes"</formula>
    </cfRule>
    <cfRule type="cellIs" dxfId="1147" priority="1459" operator="equal">
      <formula>"Pending PV"</formula>
    </cfRule>
  </conditionalFormatting>
  <conditionalFormatting sqref="I83:I87">
    <cfRule type="cellIs" dxfId="1146" priority="1430" operator="equal">
      <formula>"Maybe"</formula>
    </cfRule>
  </conditionalFormatting>
  <conditionalFormatting sqref="I83:I87">
    <cfRule type="cellIs" dxfId="1145" priority="1424" operator="equal">
      <formula>"no"</formula>
    </cfRule>
    <cfRule type="cellIs" dxfId="1144" priority="1425" operator="equal">
      <formula>"N/A"</formula>
    </cfRule>
    <cfRule type="cellIs" dxfId="1143" priority="1426" operator="equal">
      <formula>"Maybe"</formula>
    </cfRule>
    <cfRule type="cellIs" dxfId="1142" priority="1427" operator="equal">
      <formula>"Yes"</formula>
    </cfRule>
    <cfRule type="cellIs" dxfId="1141" priority="1428" operator="equal">
      <formula>"Pending PV"</formula>
    </cfRule>
    <cfRule type="cellIs" dxfId="1140" priority="1429" operator="equal">
      <formula>"N/A"</formula>
    </cfRule>
    <cfRule type="cellIs" dxfId="1139" priority="1431" operator="equal">
      <formula>"Yes"</formula>
    </cfRule>
    <cfRule type="cellIs" dxfId="1138" priority="1432" operator="equal">
      <formula>"Pending PV"</formula>
    </cfRule>
  </conditionalFormatting>
  <conditionalFormatting sqref="I91:I92 I89">
    <cfRule type="cellIs" dxfId="1137" priority="1421" operator="equal">
      <formula>"Maybe"</formula>
    </cfRule>
  </conditionalFormatting>
  <conditionalFormatting sqref="I91:I92 I89">
    <cfRule type="cellIs" dxfId="1136" priority="1415" operator="equal">
      <formula>"no"</formula>
    </cfRule>
    <cfRule type="cellIs" dxfId="1135" priority="1416" operator="equal">
      <formula>"N/A"</formula>
    </cfRule>
    <cfRule type="cellIs" dxfId="1134" priority="1417" operator="equal">
      <formula>"Maybe"</formula>
    </cfRule>
    <cfRule type="cellIs" dxfId="1133" priority="1418" operator="equal">
      <formula>"Yes"</formula>
    </cfRule>
    <cfRule type="cellIs" dxfId="1132" priority="1419" operator="equal">
      <formula>"Pending PV"</formula>
    </cfRule>
    <cfRule type="cellIs" dxfId="1131" priority="1420" operator="equal">
      <formula>"N/A"</formula>
    </cfRule>
    <cfRule type="cellIs" dxfId="1130" priority="1422" operator="equal">
      <formula>"Yes"</formula>
    </cfRule>
    <cfRule type="cellIs" dxfId="1129" priority="1423" operator="equal">
      <formula>"Pending PV"</formula>
    </cfRule>
  </conditionalFormatting>
  <conditionalFormatting sqref="I94:I95">
    <cfRule type="cellIs" dxfId="1128" priority="1412" operator="equal">
      <formula>"Maybe"</formula>
    </cfRule>
  </conditionalFormatting>
  <conditionalFormatting sqref="I94:I95">
    <cfRule type="cellIs" dxfId="1127" priority="1406" operator="equal">
      <formula>"no"</formula>
    </cfRule>
    <cfRule type="cellIs" dxfId="1126" priority="1407" operator="equal">
      <formula>"N/A"</formula>
    </cfRule>
    <cfRule type="cellIs" dxfId="1125" priority="1408" operator="equal">
      <formula>"Maybe"</formula>
    </cfRule>
    <cfRule type="cellIs" dxfId="1124" priority="1409" operator="equal">
      <formula>"Yes"</formula>
    </cfRule>
    <cfRule type="cellIs" dxfId="1123" priority="1410" operator="equal">
      <formula>"Pending PV"</formula>
    </cfRule>
    <cfRule type="cellIs" dxfId="1122" priority="1411" operator="equal">
      <formula>"N/A"</formula>
    </cfRule>
    <cfRule type="cellIs" dxfId="1121" priority="1413" operator="equal">
      <formula>"Yes"</formula>
    </cfRule>
    <cfRule type="cellIs" dxfId="1120" priority="1414" operator="equal">
      <formula>"Pending PV"</formula>
    </cfRule>
  </conditionalFormatting>
  <conditionalFormatting sqref="I97">
    <cfRule type="cellIs" dxfId="1119" priority="1403" operator="equal">
      <formula>"Maybe"</formula>
    </cfRule>
  </conditionalFormatting>
  <conditionalFormatting sqref="I97">
    <cfRule type="cellIs" dxfId="1118" priority="1397" operator="equal">
      <formula>"no"</formula>
    </cfRule>
    <cfRule type="cellIs" dxfId="1117" priority="1398" operator="equal">
      <formula>"N/A"</formula>
    </cfRule>
    <cfRule type="cellIs" dxfId="1116" priority="1399" operator="equal">
      <formula>"Maybe"</formula>
    </cfRule>
    <cfRule type="cellIs" dxfId="1115" priority="1400" operator="equal">
      <formula>"Yes"</formula>
    </cfRule>
    <cfRule type="cellIs" dxfId="1114" priority="1401" operator="equal">
      <formula>"Pending PV"</formula>
    </cfRule>
    <cfRule type="cellIs" dxfId="1113" priority="1402" operator="equal">
      <formula>"N/A"</formula>
    </cfRule>
    <cfRule type="cellIs" dxfId="1112" priority="1404" operator="equal">
      <formula>"Yes"</formula>
    </cfRule>
    <cfRule type="cellIs" dxfId="1111" priority="1405" operator="equal">
      <formula>"Pending PV"</formula>
    </cfRule>
  </conditionalFormatting>
  <conditionalFormatting sqref="I99">
    <cfRule type="cellIs" dxfId="1110" priority="1394" operator="equal">
      <formula>"Maybe"</formula>
    </cfRule>
  </conditionalFormatting>
  <conditionalFormatting sqref="I99">
    <cfRule type="cellIs" dxfId="1109" priority="1388" operator="equal">
      <formula>"no"</formula>
    </cfRule>
    <cfRule type="cellIs" dxfId="1108" priority="1389" operator="equal">
      <formula>"N/A"</formula>
    </cfRule>
    <cfRule type="cellIs" dxfId="1107" priority="1390" operator="equal">
      <formula>"Maybe"</formula>
    </cfRule>
    <cfRule type="cellIs" dxfId="1106" priority="1391" operator="equal">
      <formula>"Yes"</formula>
    </cfRule>
    <cfRule type="cellIs" dxfId="1105" priority="1392" operator="equal">
      <formula>"Pending PV"</formula>
    </cfRule>
    <cfRule type="cellIs" dxfId="1104" priority="1393" operator="equal">
      <formula>"N/A"</formula>
    </cfRule>
    <cfRule type="cellIs" dxfId="1103" priority="1395" operator="equal">
      <formula>"Yes"</formula>
    </cfRule>
    <cfRule type="cellIs" dxfId="1102" priority="1396" operator="equal">
      <formula>"Pending PV"</formula>
    </cfRule>
  </conditionalFormatting>
  <conditionalFormatting sqref="I106:I107">
    <cfRule type="cellIs" dxfId="1101" priority="1367" operator="equal">
      <formula>"Maybe"</formula>
    </cfRule>
  </conditionalFormatting>
  <conditionalFormatting sqref="I106:I107">
    <cfRule type="cellIs" dxfId="1100" priority="1361" operator="equal">
      <formula>"no"</formula>
    </cfRule>
    <cfRule type="cellIs" dxfId="1099" priority="1362" operator="equal">
      <formula>"N/A"</formula>
    </cfRule>
    <cfRule type="cellIs" dxfId="1098" priority="1363" operator="equal">
      <formula>"Maybe"</formula>
    </cfRule>
    <cfRule type="cellIs" dxfId="1097" priority="1364" operator="equal">
      <formula>"Yes"</formula>
    </cfRule>
    <cfRule type="cellIs" dxfId="1096" priority="1365" operator="equal">
      <formula>"Pending PV"</formula>
    </cfRule>
    <cfRule type="cellIs" dxfId="1095" priority="1366" operator="equal">
      <formula>"N/A"</formula>
    </cfRule>
    <cfRule type="cellIs" dxfId="1094" priority="1368" operator="equal">
      <formula>"Yes"</formula>
    </cfRule>
    <cfRule type="cellIs" dxfId="1093" priority="1369" operator="equal">
      <formula>"Pending PV"</formula>
    </cfRule>
  </conditionalFormatting>
  <conditionalFormatting sqref="I117">
    <cfRule type="cellIs" dxfId="1092" priority="1331" operator="equal">
      <formula>"Maybe"</formula>
    </cfRule>
  </conditionalFormatting>
  <conditionalFormatting sqref="I117">
    <cfRule type="cellIs" dxfId="1091" priority="1325" operator="equal">
      <formula>"no"</formula>
    </cfRule>
    <cfRule type="cellIs" dxfId="1090" priority="1326" operator="equal">
      <formula>"N/A"</formula>
    </cfRule>
    <cfRule type="cellIs" dxfId="1089" priority="1327" operator="equal">
      <formula>"Maybe"</formula>
    </cfRule>
    <cfRule type="cellIs" dxfId="1088" priority="1328" operator="equal">
      <formula>"Yes"</formula>
    </cfRule>
    <cfRule type="cellIs" dxfId="1087" priority="1329" operator="equal">
      <formula>"Pending PV"</formula>
    </cfRule>
    <cfRule type="cellIs" dxfId="1086" priority="1330" operator="equal">
      <formula>"N/A"</formula>
    </cfRule>
    <cfRule type="cellIs" dxfId="1085" priority="1332" operator="equal">
      <formula>"Yes"</formula>
    </cfRule>
    <cfRule type="cellIs" dxfId="1084" priority="1333" operator="equal">
      <formula>"Pending PV"</formula>
    </cfRule>
  </conditionalFormatting>
  <conditionalFormatting sqref="I119:I120">
    <cfRule type="cellIs" dxfId="1083" priority="1322" operator="equal">
      <formula>"Maybe"</formula>
    </cfRule>
  </conditionalFormatting>
  <conditionalFormatting sqref="I119:I120">
    <cfRule type="cellIs" dxfId="1082" priority="1316" operator="equal">
      <formula>"no"</formula>
    </cfRule>
    <cfRule type="cellIs" dxfId="1081" priority="1317" operator="equal">
      <formula>"N/A"</formula>
    </cfRule>
    <cfRule type="cellIs" dxfId="1080" priority="1318" operator="equal">
      <formula>"Maybe"</formula>
    </cfRule>
    <cfRule type="cellIs" dxfId="1079" priority="1319" operator="equal">
      <formula>"Yes"</formula>
    </cfRule>
    <cfRule type="cellIs" dxfId="1078" priority="1320" operator="equal">
      <formula>"Pending PV"</formula>
    </cfRule>
    <cfRule type="cellIs" dxfId="1077" priority="1321" operator="equal">
      <formula>"N/A"</formula>
    </cfRule>
    <cfRule type="cellIs" dxfId="1076" priority="1323" operator="equal">
      <formula>"Yes"</formula>
    </cfRule>
    <cfRule type="cellIs" dxfId="1075" priority="1324" operator="equal">
      <formula>"Pending PV"</formula>
    </cfRule>
  </conditionalFormatting>
  <conditionalFormatting sqref="I127:I128">
    <cfRule type="cellIs" dxfId="1074" priority="1295" operator="equal">
      <formula>"Maybe"</formula>
    </cfRule>
  </conditionalFormatting>
  <conditionalFormatting sqref="I127:I128">
    <cfRule type="cellIs" dxfId="1073" priority="1289" operator="equal">
      <formula>"no"</formula>
    </cfRule>
    <cfRule type="cellIs" dxfId="1072" priority="1290" operator="equal">
      <formula>"N/A"</formula>
    </cfRule>
    <cfRule type="cellIs" dxfId="1071" priority="1291" operator="equal">
      <formula>"Maybe"</formula>
    </cfRule>
    <cfRule type="cellIs" dxfId="1070" priority="1292" operator="equal">
      <formula>"Yes"</formula>
    </cfRule>
    <cfRule type="cellIs" dxfId="1069" priority="1293" operator="equal">
      <formula>"Pending PV"</formula>
    </cfRule>
    <cfRule type="cellIs" dxfId="1068" priority="1294" operator="equal">
      <formula>"N/A"</formula>
    </cfRule>
    <cfRule type="cellIs" dxfId="1067" priority="1296" operator="equal">
      <formula>"Yes"</formula>
    </cfRule>
    <cfRule type="cellIs" dxfId="1066" priority="1297" operator="equal">
      <formula>"Pending PV"</formula>
    </cfRule>
  </conditionalFormatting>
  <conditionalFormatting sqref="I135:I136">
    <cfRule type="cellIs" dxfId="1065" priority="1268" operator="equal">
      <formula>"Maybe"</formula>
    </cfRule>
  </conditionalFormatting>
  <conditionalFormatting sqref="I135:I136">
    <cfRule type="cellIs" dxfId="1064" priority="1262" operator="equal">
      <formula>"no"</formula>
    </cfRule>
    <cfRule type="cellIs" dxfId="1063" priority="1263" operator="equal">
      <formula>"N/A"</formula>
    </cfRule>
    <cfRule type="cellIs" dxfId="1062" priority="1264" operator="equal">
      <formula>"Maybe"</formula>
    </cfRule>
    <cfRule type="cellIs" dxfId="1061" priority="1265" operator="equal">
      <formula>"Yes"</formula>
    </cfRule>
    <cfRule type="cellIs" dxfId="1060" priority="1266" operator="equal">
      <formula>"Pending PV"</formula>
    </cfRule>
    <cfRule type="cellIs" dxfId="1059" priority="1267" operator="equal">
      <formula>"N/A"</formula>
    </cfRule>
    <cfRule type="cellIs" dxfId="1058" priority="1269" operator="equal">
      <formula>"Yes"</formula>
    </cfRule>
    <cfRule type="cellIs" dxfId="1057" priority="1270" operator="equal">
      <formula>"Pending PV"</formula>
    </cfRule>
  </conditionalFormatting>
  <conditionalFormatting sqref="I138:I140">
    <cfRule type="cellIs" dxfId="1056" priority="1259" operator="equal">
      <formula>"Maybe"</formula>
    </cfRule>
  </conditionalFormatting>
  <conditionalFormatting sqref="I138:I140">
    <cfRule type="cellIs" dxfId="1055" priority="1253" operator="equal">
      <formula>"no"</formula>
    </cfRule>
    <cfRule type="cellIs" dxfId="1054" priority="1254" operator="equal">
      <formula>"N/A"</formula>
    </cfRule>
    <cfRule type="cellIs" dxfId="1053" priority="1255" operator="equal">
      <formula>"Maybe"</formula>
    </cfRule>
    <cfRule type="cellIs" dxfId="1052" priority="1256" operator="equal">
      <formula>"Yes"</formula>
    </cfRule>
    <cfRule type="cellIs" dxfId="1051" priority="1257" operator="equal">
      <formula>"Pending PV"</formula>
    </cfRule>
    <cfRule type="cellIs" dxfId="1050" priority="1258" operator="equal">
      <formula>"N/A"</formula>
    </cfRule>
    <cfRule type="cellIs" dxfId="1049" priority="1260" operator="equal">
      <formula>"Yes"</formula>
    </cfRule>
    <cfRule type="cellIs" dxfId="1048" priority="1261" operator="equal">
      <formula>"Pending PV"</formula>
    </cfRule>
  </conditionalFormatting>
  <conditionalFormatting sqref="I142:I143">
    <cfRule type="cellIs" dxfId="1047" priority="1250" operator="equal">
      <formula>"Maybe"</formula>
    </cfRule>
  </conditionalFormatting>
  <conditionalFormatting sqref="I142:I143">
    <cfRule type="cellIs" dxfId="1046" priority="1244" operator="equal">
      <formula>"no"</formula>
    </cfRule>
    <cfRule type="cellIs" dxfId="1045" priority="1245" operator="equal">
      <formula>"N/A"</formula>
    </cfRule>
    <cfRule type="cellIs" dxfId="1044" priority="1246" operator="equal">
      <formula>"Maybe"</formula>
    </cfRule>
    <cfRule type="cellIs" dxfId="1043" priority="1247" operator="equal">
      <formula>"Yes"</formula>
    </cfRule>
    <cfRule type="cellIs" dxfId="1042" priority="1248" operator="equal">
      <formula>"Pending PV"</formula>
    </cfRule>
    <cfRule type="cellIs" dxfId="1041" priority="1249" operator="equal">
      <formula>"N/A"</formula>
    </cfRule>
    <cfRule type="cellIs" dxfId="1040" priority="1251" operator="equal">
      <formula>"Yes"</formula>
    </cfRule>
    <cfRule type="cellIs" dxfId="1039" priority="1252" operator="equal">
      <formula>"Pending PV"</formula>
    </cfRule>
  </conditionalFormatting>
  <conditionalFormatting sqref="I145:I149">
    <cfRule type="cellIs" dxfId="1038" priority="1241" operator="equal">
      <formula>"Maybe"</formula>
    </cfRule>
  </conditionalFormatting>
  <conditionalFormatting sqref="I145:I149">
    <cfRule type="cellIs" dxfId="1037" priority="1235" operator="equal">
      <formula>"no"</formula>
    </cfRule>
    <cfRule type="cellIs" dxfId="1036" priority="1236" operator="equal">
      <formula>"N/A"</formula>
    </cfRule>
    <cfRule type="cellIs" dxfId="1035" priority="1237" operator="equal">
      <formula>"Maybe"</formula>
    </cfRule>
    <cfRule type="cellIs" dxfId="1034" priority="1238" operator="equal">
      <formula>"Yes"</formula>
    </cfRule>
    <cfRule type="cellIs" dxfId="1033" priority="1239" operator="equal">
      <formula>"Pending PV"</formula>
    </cfRule>
    <cfRule type="cellIs" dxfId="1032" priority="1240" operator="equal">
      <formula>"N/A"</formula>
    </cfRule>
    <cfRule type="cellIs" dxfId="1031" priority="1242" operator="equal">
      <formula>"Yes"</formula>
    </cfRule>
    <cfRule type="cellIs" dxfId="1030" priority="1243" operator="equal">
      <formula>"Pending PV"</formula>
    </cfRule>
  </conditionalFormatting>
  <conditionalFormatting sqref="I157:I159">
    <cfRule type="cellIs" dxfId="1029" priority="1214" operator="equal">
      <formula>"Maybe"</formula>
    </cfRule>
  </conditionalFormatting>
  <conditionalFormatting sqref="I157:I159">
    <cfRule type="cellIs" dxfId="1028" priority="1208" operator="equal">
      <formula>"no"</formula>
    </cfRule>
    <cfRule type="cellIs" dxfId="1027" priority="1209" operator="equal">
      <formula>"N/A"</formula>
    </cfRule>
    <cfRule type="cellIs" dxfId="1026" priority="1210" operator="equal">
      <formula>"Maybe"</formula>
    </cfRule>
    <cfRule type="cellIs" dxfId="1025" priority="1211" operator="equal">
      <formula>"Yes"</formula>
    </cfRule>
    <cfRule type="cellIs" dxfId="1024" priority="1212" operator="equal">
      <formula>"Pending PV"</formula>
    </cfRule>
    <cfRule type="cellIs" dxfId="1023" priority="1213" operator="equal">
      <formula>"N/A"</formula>
    </cfRule>
    <cfRule type="cellIs" dxfId="1022" priority="1215" operator="equal">
      <formula>"Yes"</formula>
    </cfRule>
    <cfRule type="cellIs" dxfId="1021" priority="1216" operator="equal">
      <formula>"Pending PV"</formula>
    </cfRule>
  </conditionalFormatting>
  <conditionalFormatting sqref="I166:I169">
    <cfRule type="cellIs" dxfId="1020" priority="1187" operator="equal">
      <formula>"Maybe"</formula>
    </cfRule>
  </conditionalFormatting>
  <conditionalFormatting sqref="I166:I169">
    <cfRule type="cellIs" dxfId="1019" priority="1181" operator="equal">
      <formula>"no"</formula>
    </cfRule>
    <cfRule type="cellIs" dxfId="1018" priority="1182" operator="equal">
      <formula>"N/A"</formula>
    </cfRule>
    <cfRule type="cellIs" dxfId="1017" priority="1183" operator="equal">
      <formula>"Maybe"</formula>
    </cfRule>
    <cfRule type="cellIs" dxfId="1016" priority="1184" operator="equal">
      <formula>"Yes"</formula>
    </cfRule>
    <cfRule type="cellIs" dxfId="1015" priority="1185" operator="equal">
      <formula>"Pending PV"</formula>
    </cfRule>
    <cfRule type="cellIs" dxfId="1014" priority="1186" operator="equal">
      <formula>"N/A"</formula>
    </cfRule>
    <cfRule type="cellIs" dxfId="1013" priority="1188" operator="equal">
      <formula>"Yes"</formula>
    </cfRule>
    <cfRule type="cellIs" dxfId="1012" priority="1189" operator="equal">
      <formula>"Pending PV"</formula>
    </cfRule>
  </conditionalFormatting>
  <conditionalFormatting sqref="I171:I173">
    <cfRule type="cellIs" dxfId="1011" priority="1178" operator="equal">
      <formula>"Maybe"</formula>
    </cfRule>
  </conditionalFormatting>
  <conditionalFormatting sqref="I171:I173">
    <cfRule type="cellIs" dxfId="1010" priority="1172" operator="equal">
      <formula>"no"</formula>
    </cfRule>
    <cfRule type="cellIs" dxfId="1009" priority="1173" operator="equal">
      <formula>"N/A"</formula>
    </cfRule>
    <cfRule type="cellIs" dxfId="1008" priority="1174" operator="equal">
      <formula>"Maybe"</formula>
    </cfRule>
    <cfRule type="cellIs" dxfId="1007" priority="1175" operator="equal">
      <formula>"Yes"</formula>
    </cfRule>
    <cfRule type="cellIs" dxfId="1006" priority="1176" operator="equal">
      <formula>"Pending PV"</formula>
    </cfRule>
    <cfRule type="cellIs" dxfId="1005" priority="1177" operator="equal">
      <formula>"N/A"</formula>
    </cfRule>
    <cfRule type="cellIs" dxfId="1004" priority="1179" operator="equal">
      <formula>"Yes"</formula>
    </cfRule>
    <cfRule type="cellIs" dxfId="1003" priority="1180" operator="equal">
      <formula>"Pending PV"</formula>
    </cfRule>
  </conditionalFormatting>
  <conditionalFormatting sqref="I177:I179">
    <cfRule type="cellIs" dxfId="1002" priority="1160" operator="equal">
      <formula>"Maybe"</formula>
    </cfRule>
  </conditionalFormatting>
  <conditionalFormatting sqref="I177:I179">
    <cfRule type="cellIs" dxfId="1001" priority="1154" operator="equal">
      <formula>"no"</formula>
    </cfRule>
    <cfRule type="cellIs" dxfId="1000" priority="1155" operator="equal">
      <formula>"N/A"</formula>
    </cfRule>
    <cfRule type="cellIs" dxfId="999" priority="1156" operator="equal">
      <formula>"Maybe"</formula>
    </cfRule>
    <cfRule type="cellIs" dxfId="998" priority="1157" operator="equal">
      <formula>"Yes"</formula>
    </cfRule>
    <cfRule type="cellIs" dxfId="997" priority="1158" operator="equal">
      <formula>"Pending PV"</formula>
    </cfRule>
    <cfRule type="cellIs" dxfId="996" priority="1159" operator="equal">
      <formula>"N/A"</formula>
    </cfRule>
    <cfRule type="cellIs" dxfId="995" priority="1161" operator="equal">
      <formula>"Yes"</formula>
    </cfRule>
    <cfRule type="cellIs" dxfId="994" priority="1162" operator="equal">
      <formula>"Pending PV"</formula>
    </cfRule>
  </conditionalFormatting>
  <conditionalFormatting sqref="I181:I183">
    <cfRule type="cellIs" dxfId="993" priority="1151" operator="equal">
      <formula>"Maybe"</formula>
    </cfRule>
  </conditionalFormatting>
  <conditionalFormatting sqref="I181:I183">
    <cfRule type="cellIs" dxfId="992" priority="1145" operator="equal">
      <formula>"no"</formula>
    </cfRule>
    <cfRule type="cellIs" dxfId="991" priority="1146" operator="equal">
      <formula>"N/A"</formula>
    </cfRule>
    <cfRule type="cellIs" dxfId="990" priority="1147" operator="equal">
      <formula>"Maybe"</formula>
    </cfRule>
    <cfRule type="cellIs" dxfId="989" priority="1148" operator="equal">
      <formula>"Yes"</formula>
    </cfRule>
    <cfRule type="cellIs" dxfId="988" priority="1149" operator="equal">
      <formula>"Pending PV"</formula>
    </cfRule>
    <cfRule type="cellIs" dxfId="987" priority="1150" operator="equal">
      <formula>"N/A"</formula>
    </cfRule>
    <cfRule type="cellIs" dxfId="986" priority="1152" operator="equal">
      <formula>"Yes"</formula>
    </cfRule>
    <cfRule type="cellIs" dxfId="985" priority="1153" operator="equal">
      <formula>"Pending PV"</formula>
    </cfRule>
  </conditionalFormatting>
  <conditionalFormatting sqref="I185">
    <cfRule type="cellIs" dxfId="984" priority="1142" operator="equal">
      <formula>"Maybe"</formula>
    </cfRule>
  </conditionalFormatting>
  <conditionalFormatting sqref="I185">
    <cfRule type="cellIs" dxfId="983" priority="1136" operator="equal">
      <formula>"no"</formula>
    </cfRule>
    <cfRule type="cellIs" dxfId="982" priority="1137" operator="equal">
      <formula>"N/A"</formula>
    </cfRule>
    <cfRule type="cellIs" dxfId="981" priority="1138" operator="equal">
      <formula>"Maybe"</formula>
    </cfRule>
    <cfRule type="cellIs" dxfId="980" priority="1139" operator="equal">
      <formula>"Yes"</formula>
    </cfRule>
    <cfRule type="cellIs" dxfId="979" priority="1140" operator="equal">
      <formula>"Pending PV"</formula>
    </cfRule>
    <cfRule type="cellIs" dxfId="978" priority="1141" operator="equal">
      <formula>"N/A"</formula>
    </cfRule>
    <cfRule type="cellIs" dxfId="977" priority="1143" operator="equal">
      <formula>"Yes"</formula>
    </cfRule>
    <cfRule type="cellIs" dxfId="976" priority="1144" operator="equal">
      <formula>"Pending PV"</formula>
    </cfRule>
  </conditionalFormatting>
  <conditionalFormatting sqref="I187:I188">
    <cfRule type="cellIs" dxfId="975" priority="1133" operator="equal">
      <formula>"Maybe"</formula>
    </cfRule>
  </conditionalFormatting>
  <conditionalFormatting sqref="I187:I188">
    <cfRule type="cellIs" dxfId="974" priority="1127" operator="equal">
      <formula>"no"</formula>
    </cfRule>
    <cfRule type="cellIs" dxfId="973" priority="1128" operator="equal">
      <formula>"N/A"</formula>
    </cfRule>
    <cfRule type="cellIs" dxfId="972" priority="1129" operator="equal">
      <formula>"Maybe"</formula>
    </cfRule>
    <cfRule type="cellIs" dxfId="971" priority="1130" operator="equal">
      <formula>"Yes"</formula>
    </cfRule>
    <cfRule type="cellIs" dxfId="970" priority="1131" operator="equal">
      <formula>"Pending PV"</formula>
    </cfRule>
    <cfRule type="cellIs" dxfId="969" priority="1132" operator="equal">
      <formula>"N/A"</formula>
    </cfRule>
    <cfRule type="cellIs" dxfId="968" priority="1134" operator="equal">
      <formula>"Yes"</formula>
    </cfRule>
    <cfRule type="cellIs" dxfId="967" priority="1135" operator="equal">
      <formula>"Pending PV"</formula>
    </cfRule>
  </conditionalFormatting>
  <conditionalFormatting sqref="I190">
    <cfRule type="cellIs" dxfId="966" priority="1124" operator="equal">
      <formula>"Maybe"</formula>
    </cfRule>
  </conditionalFormatting>
  <conditionalFormatting sqref="I190">
    <cfRule type="cellIs" dxfId="965" priority="1118" operator="equal">
      <formula>"no"</formula>
    </cfRule>
    <cfRule type="cellIs" dxfId="964" priority="1119" operator="equal">
      <formula>"N/A"</formula>
    </cfRule>
    <cfRule type="cellIs" dxfId="963" priority="1120" operator="equal">
      <formula>"Maybe"</formula>
    </cfRule>
    <cfRule type="cellIs" dxfId="962" priority="1121" operator="equal">
      <formula>"Yes"</formula>
    </cfRule>
    <cfRule type="cellIs" dxfId="961" priority="1122" operator="equal">
      <formula>"Pending PV"</formula>
    </cfRule>
    <cfRule type="cellIs" dxfId="960" priority="1123" operator="equal">
      <formula>"N/A"</formula>
    </cfRule>
    <cfRule type="cellIs" dxfId="959" priority="1125" operator="equal">
      <formula>"Yes"</formula>
    </cfRule>
    <cfRule type="cellIs" dxfId="958" priority="1126" operator="equal">
      <formula>"Pending PV"</formula>
    </cfRule>
  </conditionalFormatting>
  <conditionalFormatting sqref="I192:I193">
    <cfRule type="cellIs" dxfId="957" priority="1115" operator="equal">
      <formula>"Maybe"</formula>
    </cfRule>
  </conditionalFormatting>
  <conditionalFormatting sqref="I192:I193">
    <cfRule type="cellIs" dxfId="956" priority="1109" operator="equal">
      <formula>"no"</formula>
    </cfRule>
    <cfRule type="cellIs" dxfId="955" priority="1110" operator="equal">
      <formula>"N/A"</formula>
    </cfRule>
    <cfRule type="cellIs" dxfId="954" priority="1111" operator="equal">
      <formula>"Maybe"</formula>
    </cfRule>
    <cfRule type="cellIs" dxfId="953" priority="1112" operator="equal">
      <formula>"Yes"</formula>
    </cfRule>
    <cfRule type="cellIs" dxfId="952" priority="1113" operator="equal">
      <formula>"Pending PV"</formula>
    </cfRule>
    <cfRule type="cellIs" dxfId="951" priority="1114" operator="equal">
      <formula>"N/A"</formula>
    </cfRule>
    <cfRule type="cellIs" dxfId="950" priority="1116" operator="equal">
      <formula>"Yes"</formula>
    </cfRule>
    <cfRule type="cellIs" dxfId="949" priority="1117" operator="equal">
      <formula>"Pending PV"</formula>
    </cfRule>
  </conditionalFormatting>
  <conditionalFormatting sqref="I195:I196">
    <cfRule type="cellIs" dxfId="948" priority="1106" operator="equal">
      <formula>"Maybe"</formula>
    </cfRule>
  </conditionalFormatting>
  <conditionalFormatting sqref="I195:I196">
    <cfRule type="cellIs" dxfId="947" priority="1100" operator="equal">
      <formula>"no"</formula>
    </cfRule>
    <cfRule type="cellIs" dxfId="946" priority="1101" operator="equal">
      <formula>"N/A"</formula>
    </cfRule>
    <cfRule type="cellIs" dxfId="945" priority="1102" operator="equal">
      <formula>"Maybe"</formula>
    </cfRule>
    <cfRule type="cellIs" dxfId="944" priority="1103" operator="equal">
      <formula>"Yes"</formula>
    </cfRule>
    <cfRule type="cellIs" dxfId="943" priority="1104" operator="equal">
      <formula>"Pending PV"</formula>
    </cfRule>
    <cfRule type="cellIs" dxfId="942" priority="1105" operator="equal">
      <formula>"N/A"</formula>
    </cfRule>
    <cfRule type="cellIs" dxfId="941" priority="1107" operator="equal">
      <formula>"Yes"</formula>
    </cfRule>
    <cfRule type="cellIs" dxfId="940" priority="1108" operator="equal">
      <formula>"Pending PV"</formula>
    </cfRule>
  </conditionalFormatting>
  <conditionalFormatting sqref="I201">
    <cfRule type="cellIs" dxfId="939" priority="1088" operator="equal">
      <formula>"Maybe"</formula>
    </cfRule>
  </conditionalFormatting>
  <conditionalFormatting sqref="I201">
    <cfRule type="cellIs" dxfId="938" priority="1082" operator="equal">
      <formula>"no"</formula>
    </cfRule>
    <cfRule type="cellIs" dxfId="937" priority="1083" operator="equal">
      <formula>"N/A"</formula>
    </cfRule>
    <cfRule type="cellIs" dxfId="936" priority="1084" operator="equal">
      <formula>"Maybe"</formula>
    </cfRule>
    <cfRule type="cellIs" dxfId="935" priority="1085" operator="equal">
      <formula>"Yes"</formula>
    </cfRule>
    <cfRule type="cellIs" dxfId="934" priority="1086" operator="equal">
      <formula>"Pending PV"</formula>
    </cfRule>
    <cfRule type="cellIs" dxfId="933" priority="1087" operator="equal">
      <formula>"N/A"</formula>
    </cfRule>
    <cfRule type="cellIs" dxfId="932" priority="1089" operator="equal">
      <formula>"Yes"</formula>
    </cfRule>
    <cfRule type="cellIs" dxfId="931" priority="1090" operator="equal">
      <formula>"Pending PV"</formula>
    </cfRule>
  </conditionalFormatting>
  <conditionalFormatting sqref="I203">
    <cfRule type="cellIs" dxfId="930" priority="1079" operator="equal">
      <formula>"Maybe"</formula>
    </cfRule>
  </conditionalFormatting>
  <conditionalFormatting sqref="I203">
    <cfRule type="cellIs" dxfId="929" priority="1073" operator="equal">
      <formula>"no"</formula>
    </cfRule>
    <cfRule type="cellIs" dxfId="928" priority="1074" operator="equal">
      <formula>"N/A"</formula>
    </cfRule>
    <cfRule type="cellIs" dxfId="927" priority="1075" operator="equal">
      <formula>"Maybe"</formula>
    </cfRule>
    <cfRule type="cellIs" dxfId="926" priority="1076" operator="equal">
      <formula>"Yes"</formula>
    </cfRule>
    <cfRule type="cellIs" dxfId="925" priority="1077" operator="equal">
      <formula>"Pending PV"</formula>
    </cfRule>
    <cfRule type="cellIs" dxfId="924" priority="1078" operator="equal">
      <formula>"N/A"</formula>
    </cfRule>
    <cfRule type="cellIs" dxfId="923" priority="1080" operator="equal">
      <formula>"Yes"</formula>
    </cfRule>
    <cfRule type="cellIs" dxfId="922" priority="1081" operator="equal">
      <formula>"Pending PV"</formula>
    </cfRule>
  </conditionalFormatting>
  <conditionalFormatting sqref="I212:I213">
    <cfRule type="cellIs" dxfId="921" priority="1052" operator="equal">
      <formula>"Maybe"</formula>
    </cfRule>
  </conditionalFormatting>
  <conditionalFormatting sqref="I212:I213">
    <cfRule type="cellIs" dxfId="920" priority="1046" operator="equal">
      <formula>"no"</formula>
    </cfRule>
    <cfRule type="cellIs" dxfId="919" priority="1047" operator="equal">
      <formula>"N/A"</formula>
    </cfRule>
    <cfRule type="cellIs" dxfId="918" priority="1048" operator="equal">
      <formula>"Maybe"</formula>
    </cfRule>
    <cfRule type="cellIs" dxfId="917" priority="1049" operator="equal">
      <formula>"Yes"</formula>
    </cfRule>
    <cfRule type="cellIs" dxfId="916" priority="1050" operator="equal">
      <formula>"Pending PV"</formula>
    </cfRule>
    <cfRule type="cellIs" dxfId="915" priority="1051" operator="equal">
      <formula>"N/A"</formula>
    </cfRule>
    <cfRule type="cellIs" dxfId="914" priority="1053" operator="equal">
      <formula>"Yes"</formula>
    </cfRule>
    <cfRule type="cellIs" dxfId="913" priority="1054" operator="equal">
      <formula>"Pending PV"</formula>
    </cfRule>
  </conditionalFormatting>
  <conditionalFormatting sqref="I215:I216">
    <cfRule type="cellIs" dxfId="912" priority="1043" operator="equal">
      <formula>"Maybe"</formula>
    </cfRule>
  </conditionalFormatting>
  <conditionalFormatting sqref="I215:I216">
    <cfRule type="cellIs" dxfId="911" priority="1037" operator="equal">
      <formula>"no"</formula>
    </cfRule>
    <cfRule type="cellIs" dxfId="910" priority="1038" operator="equal">
      <formula>"N/A"</formula>
    </cfRule>
    <cfRule type="cellIs" dxfId="909" priority="1039" operator="equal">
      <formula>"Maybe"</formula>
    </cfRule>
    <cfRule type="cellIs" dxfId="908" priority="1040" operator="equal">
      <formula>"Yes"</formula>
    </cfRule>
    <cfRule type="cellIs" dxfId="907" priority="1041" operator="equal">
      <formula>"Pending PV"</formula>
    </cfRule>
    <cfRule type="cellIs" dxfId="906" priority="1042" operator="equal">
      <formula>"N/A"</formula>
    </cfRule>
    <cfRule type="cellIs" dxfId="905" priority="1044" operator="equal">
      <formula>"Yes"</formula>
    </cfRule>
    <cfRule type="cellIs" dxfId="904" priority="1045" operator="equal">
      <formula>"Pending PV"</formula>
    </cfRule>
  </conditionalFormatting>
  <conditionalFormatting sqref="I219">
    <cfRule type="cellIs" dxfId="903" priority="1034" operator="equal">
      <formula>"Maybe"</formula>
    </cfRule>
  </conditionalFormatting>
  <conditionalFormatting sqref="I219">
    <cfRule type="cellIs" dxfId="902" priority="1028" operator="equal">
      <formula>"no"</formula>
    </cfRule>
    <cfRule type="cellIs" dxfId="901" priority="1029" operator="equal">
      <formula>"N/A"</formula>
    </cfRule>
    <cfRule type="cellIs" dxfId="900" priority="1030" operator="equal">
      <formula>"Maybe"</formula>
    </cfRule>
    <cfRule type="cellIs" dxfId="899" priority="1031" operator="equal">
      <formula>"Yes"</formula>
    </cfRule>
    <cfRule type="cellIs" dxfId="898" priority="1032" operator="equal">
      <formula>"Pending PV"</formula>
    </cfRule>
    <cfRule type="cellIs" dxfId="897" priority="1033" operator="equal">
      <formula>"N/A"</formula>
    </cfRule>
    <cfRule type="cellIs" dxfId="896" priority="1035" operator="equal">
      <formula>"Yes"</formula>
    </cfRule>
    <cfRule type="cellIs" dxfId="895" priority="1036" operator="equal">
      <formula>"Pending PV"</formula>
    </cfRule>
  </conditionalFormatting>
  <conditionalFormatting sqref="I218">
    <cfRule type="cellIs" dxfId="894" priority="1025" operator="equal">
      <formula>"Maybe"</formula>
    </cfRule>
  </conditionalFormatting>
  <conditionalFormatting sqref="I218">
    <cfRule type="cellIs" dxfId="893" priority="1019" operator="equal">
      <formula>"no"</formula>
    </cfRule>
    <cfRule type="cellIs" dxfId="892" priority="1020" operator="equal">
      <formula>"N/A"</formula>
    </cfRule>
    <cfRule type="cellIs" dxfId="891" priority="1021" operator="equal">
      <formula>"Maybe"</formula>
    </cfRule>
    <cfRule type="cellIs" dxfId="890" priority="1022" operator="equal">
      <formula>"Yes"</formula>
    </cfRule>
    <cfRule type="cellIs" dxfId="889" priority="1023" operator="equal">
      <formula>"Pending PV"</formula>
    </cfRule>
    <cfRule type="cellIs" dxfId="888" priority="1024" operator="equal">
      <formula>"N/A"</formula>
    </cfRule>
    <cfRule type="cellIs" dxfId="887" priority="1026" operator="equal">
      <formula>"Yes"</formula>
    </cfRule>
    <cfRule type="cellIs" dxfId="886" priority="1027" operator="equal">
      <formula>"Pending PV"</formula>
    </cfRule>
  </conditionalFormatting>
  <conditionalFormatting sqref="I221:I223">
    <cfRule type="cellIs" dxfId="885" priority="1016" operator="equal">
      <formula>"Maybe"</formula>
    </cfRule>
  </conditionalFormatting>
  <conditionalFormatting sqref="I221:I223">
    <cfRule type="cellIs" dxfId="884" priority="1010" operator="equal">
      <formula>"no"</formula>
    </cfRule>
    <cfRule type="cellIs" dxfId="883" priority="1011" operator="equal">
      <formula>"N/A"</formula>
    </cfRule>
    <cfRule type="cellIs" dxfId="882" priority="1012" operator="equal">
      <formula>"Maybe"</formula>
    </cfRule>
    <cfRule type="cellIs" dxfId="881" priority="1013" operator="equal">
      <formula>"Yes"</formula>
    </cfRule>
    <cfRule type="cellIs" dxfId="880" priority="1014" operator="equal">
      <formula>"Pending PV"</formula>
    </cfRule>
    <cfRule type="cellIs" dxfId="879" priority="1015" operator="equal">
      <formula>"N/A"</formula>
    </cfRule>
    <cfRule type="cellIs" dxfId="878" priority="1017" operator="equal">
      <formula>"Yes"</formula>
    </cfRule>
    <cfRule type="cellIs" dxfId="877" priority="1018" operator="equal">
      <formula>"Pending PV"</formula>
    </cfRule>
  </conditionalFormatting>
  <conditionalFormatting sqref="I225:I226">
    <cfRule type="cellIs" dxfId="876" priority="1007" operator="equal">
      <formula>"Maybe"</formula>
    </cfRule>
  </conditionalFormatting>
  <conditionalFormatting sqref="I225:I226">
    <cfRule type="cellIs" dxfId="875" priority="1001" operator="equal">
      <formula>"no"</formula>
    </cfRule>
    <cfRule type="cellIs" dxfId="874" priority="1002" operator="equal">
      <formula>"N/A"</formula>
    </cfRule>
    <cfRule type="cellIs" dxfId="873" priority="1003" operator="equal">
      <formula>"Maybe"</formula>
    </cfRule>
    <cfRule type="cellIs" dxfId="872" priority="1004" operator="equal">
      <formula>"Yes"</formula>
    </cfRule>
    <cfRule type="cellIs" dxfId="871" priority="1005" operator="equal">
      <formula>"Pending PV"</formula>
    </cfRule>
    <cfRule type="cellIs" dxfId="870" priority="1006" operator="equal">
      <formula>"N/A"</formula>
    </cfRule>
    <cfRule type="cellIs" dxfId="869" priority="1008" operator="equal">
      <formula>"Yes"</formula>
    </cfRule>
    <cfRule type="cellIs" dxfId="868" priority="1009" operator="equal">
      <formula>"Pending PV"</formula>
    </cfRule>
  </conditionalFormatting>
  <conditionalFormatting sqref="I228">
    <cfRule type="cellIs" dxfId="867" priority="998" operator="equal">
      <formula>"Maybe"</formula>
    </cfRule>
  </conditionalFormatting>
  <conditionalFormatting sqref="I228">
    <cfRule type="cellIs" dxfId="866" priority="992" operator="equal">
      <formula>"no"</formula>
    </cfRule>
    <cfRule type="cellIs" dxfId="865" priority="993" operator="equal">
      <formula>"N/A"</formula>
    </cfRule>
    <cfRule type="cellIs" dxfId="864" priority="994" operator="equal">
      <formula>"Maybe"</formula>
    </cfRule>
    <cfRule type="cellIs" dxfId="863" priority="995" operator="equal">
      <formula>"Yes"</formula>
    </cfRule>
    <cfRule type="cellIs" dxfId="862" priority="996" operator="equal">
      <formula>"Pending PV"</formula>
    </cfRule>
    <cfRule type="cellIs" dxfId="861" priority="997" operator="equal">
      <formula>"N/A"</formula>
    </cfRule>
    <cfRule type="cellIs" dxfId="860" priority="999" operator="equal">
      <formula>"Yes"</formula>
    </cfRule>
    <cfRule type="cellIs" dxfId="859" priority="1000" operator="equal">
      <formula>"Pending PV"</formula>
    </cfRule>
  </conditionalFormatting>
  <conditionalFormatting sqref="I230">
    <cfRule type="cellIs" dxfId="858" priority="989" operator="equal">
      <formula>"Maybe"</formula>
    </cfRule>
  </conditionalFormatting>
  <conditionalFormatting sqref="I230">
    <cfRule type="cellIs" dxfId="857" priority="983" operator="equal">
      <formula>"no"</formula>
    </cfRule>
    <cfRule type="cellIs" dxfId="856" priority="984" operator="equal">
      <formula>"N/A"</formula>
    </cfRule>
    <cfRule type="cellIs" dxfId="855" priority="985" operator="equal">
      <formula>"Maybe"</formula>
    </cfRule>
    <cfRule type="cellIs" dxfId="854" priority="986" operator="equal">
      <formula>"Yes"</formula>
    </cfRule>
    <cfRule type="cellIs" dxfId="853" priority="987" operator="equal">
      <formula>"Pending PV"</formula>
    </cfRule>
    <cfRule type="cellIs" dxfId="852" priority="988" operator="equal">
      <formula>"N/A"</formula>
    </cfRule>
    <cfRule type="cellIs" dxfId="851" priority="990" operator="equal">
      <formula>"Yes"</formula>
    </cfRule>
    <cfRule type="cellIs" dxfId="850" priority="991" operator="equal">
      <formula>"Pending PV"</formula>
    </cfRule>
  </conditionalFormatting>
  <conditionalFormatting sqref="I231">
    <cfRule type="cellIs" dxfId="849" priority="980" operator="equal">
      <formula>"Maybe"</formula>
    </cfRule>
  </conditionalFormatting>
  <conditionalFormatting sqref="I231">
    <cfRule type="cellIs" dxfId="848" priority="974" operator="equal">
      <formula>"no"</formula>
    </cfRule>
    <cfRule type="cellIs" dxfId="847" priority="975" operator="equal">
      <formula>"N/A"</formula>
    </cfRule>
    <cfRule type="cellIs" dxfId="846" priority="976" operator="equal">
      <formula>"Maybe"</formula>
    </cfRule>
    <cfRule type="cellIs" dxfId="845" priority="977" operator="equal">
      <formula>"Yes"</formula>
    </cfRule>
    <cfRule type="cellIs" dxfId="844" priority="978" operator="equal">
      <formula>"Pending PV"</formula>
    </cfRule>
    <cfRule type="cellIs" dxfId="843" priority="979" operator="equal">
      <formula>"N/A"</formula>
    </cfRule>
    <cfRule type="cellIs" dxfId="842" priority="981" operator="equal">
      <formula>"Yes"</formula>
    </cfRule>
    <cfRule type="cellIs" dxfId="841" priority="982" operator="equal">
      <formula>"Pending PV"</formula>
    </cfRule>
  </conditionalFormatting>
  <conditionalFormatting sqref="I250">
    <cfRule type="cellIs" dxfId="840" priority="890" operator="equal">
      <formula>"Maybe"</formula>
    </cfRule>
  </conditionalFormatting>
  <conditionalFormatting sqref="I250">
    <cfRule type="cellIs" dxfId="839" priority="884" operator="equal">
      <formula>"no"</formula>
    </cfRule>
    <cfRule type="cellIs" dxfId="838" priority="885" operator="equal">
      <formula>"N/A"</formula>
    </cfRule>
    <cfRule type="cellIs" dxfId="837" priority="886" operator="equal">
      <formula>"Maybe"</formula>
    </cfRule>
    <cfRule type="cellIs" dxfId="836" priority="887" operator="equal">
      <formula>"Yes"</formula>
    </cfRule>
    <cfRule type="cellIs" dxfId="835" priority="888" operator="equal">
      <formula>"Pending PV"</formula>
    </cfRule>
    <cfRule type="cellIs" dxfId="834" priority="889" operator="equal">
      <formula>"N/A"</formula>
    </cfRule>
    <cfRule type="cellIs" dxfId="833" priority="891" operator="equal">
      <formula>"Yes"</formula>
    </cfRule>
    <cfRule type="cellIs" dxfId="832" priority="892" operator="equal">
      <formula>"Pending PV"</formula>
    </cfRule>
  </conditionalFormatting>
  <conditionalFormatting sqref="I252:I255">
    <cfRule type="cellIs" dxfId="831" priority="881" operator="equal">
      <formula>"Maybe"</formula>
    </cfRule>
  </conditionalFormatting>
  <conditionalFormatting sqref="I252:I255">
    <cfRule type="cellIs" dxfId="830" priority="875" operator="equal">
      <formula>"no"</formula>
    </cfRule>
    <cfRule type="cellIs" dxfId="829" priority="876" operator="equal">
      <formula>"N/A"</formula>
    </cfRule>
    <cfRule type="cellIs" dxfId="828" priority="877" operator="equal">
      <formula>"Maybe"</formula>
    </cfRule>
    <cfRule type="cellIs" dxfId="827" priority="878" operator="equal">
      <formula>"Yes"</formula>
    </cfRule>
    <cfRule type="cellIs" dxfId="826" priority="879" operator="equal">
      <formula>"Pending PV"</formula>
    </cfRule>
    <cfRule type="cellIs" dxfId="825" priority="880" operator="equal">
      <formula>"N/A"</formula>
    </cfRule>
    <cfRule type="cellIs" dxfId="824" priority="882" operator="equal">
      <formula>"Yes"</formula>
    </cfRule>
    <cfRule type="cellIs" dxfId="823" priority="883" operator="equal">
      <formula>"Pending PV"</formula>
    </cfRule>
  </conditionalFormatting>
  <conditionalFormatting sqref="I257:I259">
    <cfRule type="cellIs" dxfId="822" priority="872" operator="equal">
      <formula>"Maybe"</formula>
    </cfRule>
  </conditionalFormatting>
  <conditionalFormatting sqref="I257:I259">
    <cfRule type="cellIs" dxfId="821" priority="866" operator="equal">
      <formula>"no"</formula>
    </cfRule>
    <cfRule type="cellIs" dxfId="820" priority="867" operator="equal">
      <formula>"N/A"</formula>
    </cfRule>
    <cfRule type="cellIs" dxfId="819" priority="868" operator="equal">
      <formula>"Maybe"</formula>
    </cfRule>
    <cfRule type="cellIs" dxfId="818" priority="869" operator="equal">
      <formula>"Yes"</formula>
    </cfRule>
    <cfRule type="cellIs" dxfId="817" priority="870" operator="equal">
      <formula>"Pending PV"</formula>
    </cfRule>
    <cfRule type="cellIs" dxfId="816" priority="871" operator="equal">
      <formula>"N/A"</formula>
    </cfRule>
    <cfRule type="cellIs" dxfId="815" priority="873" operator="equal">
      <formula>"Yes"</formula>
    </cfRule>
    <cfRule type="cellIs" dxfId="814" priority="874" operator="equal">
      <formula>"Pending PV"</formula>
    </cfRule>
  </conditionalFormatting>
  <conditionalFormatting sqref="I261">
    <cfRule type="cellIs" dxfId="813" priority="863" operator="equal">
      <formula>"Maybe"</formula>
    </cfRule>
  </conditionalFormatting>
  <conditionalFormatting sqref="I261">
    <cfRule type="cellIs" dxfId="812" priority="857" operator="equal">
      <formula>"no"</formula>
    </cfRule>
    <cfRule type="cellIs" dxfId="811" priority="858" operator="equal">
      <formula>"N/A"</formula>
    </cfRule>
    <cfRule type="cellIs" dxfId="810" priority="859" operator="equal">
      <formula>"Maybe"</formula>
    </cfRule>
    <cfRule type="cellIs" dxfId="809" priority="860" operator="equal">
      <formula>"Yes"</formula>
    </cfRule>
    <cfRule type="cellIs" dxfId="808" priority="861" operator="equal">
      <formula>"Pending PV"</formula>
    </cfRule>
    <cfRule type="cellIs" dxfId="807" priority="862" operator="equal">
      <formula>"N/A"</formula>
    </cfRule>
    <cfRule type="cellIs" dxfId="806" priority="864" operator="equal">
      <formula>"Yes"</formula>
    </cfRule>
    <cfRule type="cellIs" dxfId="805" priority="865" operator="equal">
      <formula>"Pending PV"</formula>
    </cfRule>
  </conditionalFormatting>
  <conditionalFormatting sqref="I263">
    <cfRule type="cellIs" dxfId="804" priority="854" operator="equal">
      <formula>"Maybe"</formula>
    </cfRule>
  </conditionalFormatting>
  <conditionalFormatting sqref="I263">
    <cfRule type="cellIs" dxfId="803" priority="848" operator="equal">
      <formula>"no"</formula>
    </cfRule>
    <cfRule type="cellIs" dxfId="802" priority="849" operator="equal">
      <formula>"N/A"</formula>
    </cfRule>
    <cfRule type="cellIs" dxfId="801" priority="850" operator="equal">
      <formula>"Maybe"</formula>
    </cfRule>
    <cfRule type="cellIs" dxfId="800" priority="851" operator="equal">
      <formula>"Yes"</formula>
    </cfRule>
    <cfRule type="cellIs" dxfId="799" priority="852" operator="equal">
      <formula>"Pending PV"</formula>
    </cfRule>
    <cfRule type="cellIs" dxfId="798" priority="853" operator="equal">
      <formula>"N/A"</formula>
    </cfRule>
    <cfRule type="cellIs" dxfId="797" priority="855" operator="equal">
      <formula>"Yes"</formula>
    </cfRule>
    <cfRule type="cellIs" dxfId="796" priority="856" operator="equal">
      <formula>"Pending PV"</formula>
    </cfRule>
  </conditionalFormatting>
  <conditionalFormatting sqref="I264">
    <cfRule type="cellIs" dxfId="795" priority="845" operator="equal">
      <formula>"Maybe"</formula>
    </cfRule>
  </conditionalFormatting>
  <conditionalFormatting sqref="I264">
    <cfRule type="cellIs" dxfId="794" priority="839" operator="equal">
      <formula>"no"</formula>
    </cfRule>
    <cfRule type="cellIs" dxfId="793" priority="840" operator="equal">
      <formula>"N/A"</formula>
    </cfRule>
    <cfRule type="cellIs" dxfId="792" priority="841" operator="equal">
      <formula>"Maybe"</formula>
    </cfRule>
    <cfRule type="cellIs" dxfId="791" priority="842" operator="equal">
      <formula>"Yes"</formula>
    </cfRule>
    <cfRule type="cellIs" dxfId="790" priority="843" operator="equal">
      <formula>"Pending PV"</formula>
    </cfRule>
    <cfRule type="cellIs" dxfId="789" priority="844" operator="equal">
      <formula>"N/A"</formula>
    </cfRule>
    <cfRule type="cellIs" dxfId="788" priority="846" operator="equal">
      <formula>"Yes"</formula>
    </cfRule>
    <cfRule type="cellIs" dxfId="787" priority="847" operator="equal">
      <formula>"Pending PV"</formula>
    </cfRule>
  </conditionalFormatting>
  <conditionalFormatting sqref="I269:I271">
    <cfRule type="cellIs" dxfId="786" priority="827" operator="equal">
      <formula>"Maybe"</formula>
    </cfRule>
  </conditionalFormatting>
  <conditionalFormatting sqref="I269:I271">
    <cfRule type="cellIs" dxfId="785" priority="821" operator="equal">
      <formula>"no"</formula>
    </cfRule>
    <cfRule type="cellIs" dxfId="784" priority="822" operator="equal">
      <formula>"N/A"</formula>
    </cfRule>
    <cfRule type="cellIs" dxfId="783" priority="823" operator="equal">
      <formula>"Maybe"</formula>
    </cfRule>
    <cfRule type="cellIs" dxfId="782" priority="824" operator="equal">
      <formula>"Yes"</formula>
    </cfRule>
    <cfRule type="cellIs" dxfId="781" priority="825" operator="equal">
      <formula>"Pending PV"</formula>
    </cfRule>
    <cfRule type="cellIs" dxfId="780" priority="826" operator="equal">
      <formula>"N/A"</formula>
    </cfRule>
    <cfRule type="cellIs" dxfId="779" priority="828" operator="equal">
      <formula>"Yes"</formula>
    </cfRule>
    <cfRule type="cellIs" dxfId="778" priority="829" operator="equal">
      <formula>"Pending PV"</formula>
    </cfRule>
  </conditionalFormatting>
  <conditionalFormatting sqref="I273">
    <cfRule type="cellIs" dxfId="777" priority="818" operator="equal">
      <formula>"Maybe"</formula>
    </cfRule>
  </conditionalFormatting>
  <conditionalFormatting sqref="I273">
    <cfRule type="cellIs" dxfId="776" priority="812" operator="equal">
      <formula>"no"</formula>
    </cfRule>
    <cfRule type="cellIs" dxfId="775" priority="813" operator="equal">
      <formula>"N/A"</formula>
    </cfRule>
    <cfRule type="cellIs" dxfId="774" priority="814" operator="equal">
      <formula>"Maybe"</formula>
    </cfRule>
    <cfRule type="cellIs" dxfId="773" priority="815" operator="equal">
      <formula>"Yes"</formula>
    </cfRule>
    <cfRule type="cellIs" dxfId="772" priority="816" operator="equal">
      <formula>"Pending PV"</formula>
    </cfRule>
    <cfRule type="cellIs" dxfId="771" priority="817" operator="equal">
      <formula>"N/A"</formula>
    </cfRule>
    <cfRule type="cellIs" dxfId="770" priority="819" operator="equal">
      <formula>"Yes"</formula>
    </cfRule>
    <cfRule type="cellIs" dxfId="769" priority="820" operator="equal">
      <formula>"Pending PV"</formula>
    </cfRule>
  </conditionalFormatting>
  <conditionalFormatting sqref="I277">
    <cfRule type="cellIs" dxfId="768" priority="800" operator="equal">
      <formula>"Maybe"</formula>
    </cfRule>
  </conditionalFormatting>
  <conditionalFormatting sqref="I277">
    <cfRule type="cellIs" dxfId="767" priority="794" operator="equal">
      <formula>"no"</formula>
    </cfRule>
    <cfRule type="cellIs" dxfId="766" priority="795" operator="equal">
      <formula>"N/A"</formula>
    </cfRule>
    <cfRule type="cellIs" dxfId="765" priority="796" operator="equal">
      <formula>"Maybe"</formula>
    </cfRule>
    <cfRule type="cellIs" dxfId="764" priority="797" operator="equal">
      <formula>"Yes"</formula>
    </cfRule>
    <cfRule type="cellIs" dxfId="763" priority="798" operator="equal">
      <formula>"Pending PV"</formula>
    </cfRule>
    <cfRule type="cellIs" dxfId="762" priority="799" operator="equal">
      <formula>"N/A"</formula>
    </cfRule>
    <cfRule type="cellIs" dxfId="761" priority="801" operator="equal">
      <formula>"Yes"</formula>
    </cfRule>
    <cfRule type="cellIs" dxfId="760" priority="802" operator="equal">
      <formula>"Pending PV"</formula>
    </cfRule>
  </conditionalFormatting>
  <conditionalFormatting sqref="I279">
    <cfRule type="cellIs" dxfId="759" priority="791" operator="equal">
      <formula>"Maybe"</formula>
    </cfRule>
  </conditionalFormatting>
  <conditionalFormatting sqref="I279">
    <cfRule type="cellIs" dxfId="758" priority="785" operator="equal">
      <formula>"no"</formula>
    </cfRule>
    <cfRule type="cellIs" dxfId="757" priority="786" operator="equal">
      <formula>"N/A"</formula>
    </cfRule>
    <cfRule type="cellIs" dxfId="756" priority="787" operator="equal">
      <formula>"Maybe"</formula>
    </cfRule>
    <cfRule type="cellIs" dxfId="755" priority="788" operator="equal">
      <formula>"Yes"</formula>
    </cfRule>
    <cfRule type="cellIs" dxfId="754" priority="789" operator="equal">
      <formula>"Pending PV"</formula>
    </cfRule>
    <cfRule type="cellIs" dxfId="753" priority="790" operator="equal">
      <formula>"N/A"</formula>
    </cfRule>
    <cfRule type="cellIs" dxfId="752" priority="792" operator="equal">
      <formula>"Yes"</formula>
    </cfRule>
    <cfRule type="cellIs" dxfId="751" priority="793" operator="equal">
      <formula>"Pending PV"</formula>
    </cfRule>
  </conditionalFormatting>
  <conditionalFormatting sqref="I281">
    <cfRule type="cellIs" dxfId="750" priority="782" operator="equal">
      <formula>"Maybe"</formula>
    </cfRule>
  </conditionalFormatting>
  <conditionalFormatting sqref="I281">
    <cfRule type="cellIs" dxfId="749" priority="776" operator="equal">
      <formula>"no"</formula>
    </cfRule>
    <cfRule type="cellIs" dxfId="748" priority="777" operator="equal">
      <formula>"N/A"</formula>
    </cfRule>
    <cfRule type="cellIs" dxfId="747" priority="778" operator="equal">
      <formula>"Maybe"</formula>
    </cfRule>
    <cfRule type="cellIs" dxfId="746" priority="779" operator="equal">
      <formula>"Yes"</formula>
    </cfRule>
    <cfRule type="cellIs" dxfId="745" priority="780" operator="equal">
      <formula>"Pending PV"</formula>
    </cfRule>
    <cfRule type="cellIs" dxfId="744" priority="781" operator="equal">
      <formula>"N/A"</formula>
    </cfRule>
    <cfRule type="cellIs" dxfId="743" priority="783" operator="equal">
      <formula>"Yes"</formula>
    </cfRule>
    <cfRule type="cellIs" dxfId="742" priority="784" operator="equal">
      <formula>"Pending PV"</formula>
    </cfRule>
  </conditionalFormatting>
  <conditionalFormatting sqref="I283:I284">
    <cfRule type="cellIs" dxfId="741" priority="773" operator="equal">
      <formula>"Maybe"</formula>
    </cfRule>
  </conditionalFormatting>
  <conditionalFormatting sqref="I283:I284">
    <cfRule type="cellIs" dxfId="740" priority="767" operator="equal">
      <formula>"no"</formula>
    </cfRule>
    <cfRule type="cellIs" dxfId="739" priority="768" operator="equal">
      <formula>"N/A"</formula>
    </cfRule>
    <cfRule type="cellIs" dxfId="738" priority="769" operator="equal">
      <formula>"Maybe"</formula>
    </cfRule>
    <cfRule type="cellIs" dxfId="737" priority="770" operator="equal">
      <formula>"Yes"</formula>
    </cfRule>
    <cfRule type="cellIs" dxfId="736" priority="771" operator="equal">
      <formula>"Pending PV"</formula>
    </cfRule>
    <cfRule type="cellIs" dxfId="735" priority="772" operator="equal">
      <formula>"N/A"</formula>
    </cfRule>
    <cfRule type="cellIs" dxfId="734" priority="774" operator="equal">
      <formula>"Yes"</formula>
    </cfRule>
    <cfRule type="cellIs" dxfId="733" priority="775" operator="equal">
      <formula>"Pending PV"</formula>
    </cfRule>
  </conditionalFormatting>
  <conditionalFormatting sqref="I286:I287">
    <cfRule type="cellIs" dxfId="732" priority="764" operator="equal">
      <formula>"Maybe"</formula>
    </cfRule>
  </conditionalFormatting>
  <conditionalFormatting sqref="I286:I287">
    <cfRule type="cellIs" dxfId="731" priority="758" operator="equal">
      <formula>"no"</formula>
    </cfRule>
    <cfRule type="cellIs" dxfId="730" priority="759" operator="equal">
      <formula>"N/A"</formula>
    </cfRule>
    <cfRule type="cellIs" dxfId="729" priority="760" operator="equal">
      <formula>"Maybe"</formula>
    </cfRule>
    <cfRule type="cellIs" dxfId="728" priority="761" operator="equal">
      <formula>"Yes"</formula>
    </cfRule>
    <cfRule type="cellIs" dxfId="727" priority="762" operator="equal">
      <formula>"Pending PV"</formula>
    </cfRule>
    <cfRule type="cellIs" dxfId="726" priority="763" operator="equal">
      <formula>"N/A"</formula>
    </cfRule>
    <cfRule type="cellIs" dxfId="725" priority="765" operator="equal">
      <formula>"Yes"</formula>
    </cfRule>
    <cfRule type="cellIs" dxfId="724" priority="766" operator="equal">
      <formula>"Pending PV"</formula>
    </cfRule>
  </conditionalFormatting>
  <conditionalFormatting sqref="I289:I291">
    <cfRule type="cellIs" dxfId="723" priority="755" operator="equal">
      <formula>"Maybe"</formula>
    </cfRule>
  </conditionalFormatting>
  <conditionalFormatting sqref="I289:I291">
    <cfRule type="cellIs" dxfId="722" priority="749" operator="equal">
      <formula>"no"</formula>
    </cfRule>
    <cfRule type="cellIs" dxfId="721" priority="750" operator="equal">
      <formula>"N/A"</formula>
    </cfRule>
    <cfRule type="cellIs" dxfId="720" priority="751" operator="equal">
      <formula>"Maybe"</formula>
    </cfRule>
    <cfRule type="cellIs" dxfId="719" priority="752" operator="equal">
      <formula>"Yes"</formula>
    </cfRule>
    <cfRule type="cellIs" dxfId="718" priority="753" operator="equal">
      <formula>"Pending PV"</formula>
    </cfRule>
    <cfRule type="cellIs" dxfId="717" priority="754" operator="equal">
      <formula>"N/A"</formula>
    </cfRule>
    <cfRule type="cellIs" dxfId="716" priority="756" operator="equal">
      <formula>"Yes"</formula>
    </cfRule>
    <cfRule type="cellIs" dxfId="715" priority="757" operator="equal">
      <formula>"Pending PV"</formula>
    </cfRule>
  </conditionalFormatting>
  <conditionalFormatting sqref="I293:I294">
    <cfRule type="cellIs" dxfId="714" priority="746" operator="equal">
      <formula>"Maybe"</formula>
    </cfRule>
  </conditionalFormatting>
  <conditionalFormatting sqref="I293:I294">
    <cfRule type="cellIs" dxfId="713" priority="740" operator="equal">
      <formula>"no"</formula>
    </cfRule>
    <cfRule type="cellIs" dxfId="712" priority="741" operator="equal">
      <formula>"N/A"</formula>
    </cfRule>
    <cfRule type="cellIs" dxfId="711" priority="742" operator="equal">
      <formula>"Maybe"</formula>
    </cfRule>
    <cfRule type="cellIs" dxfId="710" priority="743" operator="equal">
      <formula>"Yes"</formula>
    </cfRule>
    <cfRule type="cellIs" dxfId="709" priority="744" operator="equal">
      <formula>"Pending PV"</formula>
    </cfRule>
    <cfRule type="cellIs" dxfId="708" priority="745" operator="equal">
      <formula>"N/A"</formula>
    </cfRule>
    <cfRule type="cellIs" dxfId="707" priority="747" operator="equal">
      <formula>"Yes"</formula>
    </cfRule>
    <cfRule type="cellIs" dxfId="706" priority="748" operator="equal">
      <formula>"Pending PV"</formula>
    </cfRule>
  </conditionalFormatting>
  <conditionalFormatting sqref="I296:I298">
    <cfRule type="cellIs" dxfId="705" priority="737" operator="equal">
      <formula>"Maybe"</formula>
    </cfRule>
  </conditionalFormatting>
  <conditionalFormatting sqref="I296:I298">
    <cfRule type="cellIs" dxfId="704" priority="731" operator="equal">
      <formula>"no"</formula>
    </cfRule>
    <cfRule type="cellIs" dxfId="703" priority="732" operator="equal">
      <formula>"N/A"</formula>
    </cfRule>
    <cfRule type="cellIs" dxfId="702" priority="733" operator="equal">
      <formula>"Maybe"</formula>
    </cfRule>
    <cfRule type="cellIs" dxfId="701" priority="734" operator="equal">
      <formula>"Yes"</formula>
    </cfRule>
    <cfRule type="cellIs" dxfId="700" priority="735" operator="equal">
      <formula>"Pending PV"</formula>
    </cfRule>
    <cfRule type="cellIs" dxfId="699" priority="736" operator="equal">
      <formula>"N/A"</formula>
    </cfRule>
    <cfRule type="cellIs" dxfId="698" priority="738" operator="equal">
      <formula>"Yes"</formula>
    </cfRule>
    <cfRule type="cellIs" dxfId="697" priority="739" operator="equal">
      <formula>"Pending PV"</formula>
    </cfRule>
  </conditionalFormatting>
  <conditionalFormatting sqref="I300:I301">
    <cfRule type="cellIs" dxfId="696" priority="728" operator="equal">
      <formula>"Maybe"</formula>
    </cfRule>
  </conditionalFormatting>
  <conditionalFormatting sqref="I300:I301">
    <cfRule type="cellIs" dxfId="695" priority="722" operator="equal">
      <formula>"no"</formula>
    </cfRule>
    <cfRule type="cellIs" dxfId="694" priority="723" operator="equal">
      <formula>"N/A"</formula>
    </cfRule>
    <cfRule type="cellIs" dxfId="693" priority="724" operator="equal">
      <formula>"Maybe"</formula>
    </cfRule>
    <cfRule type="cellIs" dxfId="692" priority="725" operator="equal">
      <formula>"Yes"</formula>
    </cfRule>
    <cfRule type="cellIs" dxfId="691" priority="726" operator="equal">
      <formula>"Pending PV"</formula>
    </cfRule>
    <cfRule type="cellIs" dxfId="690" priority="727" operator="equal">
      <formula>"N/A"</formula>
    </cfRule>
    <cfRule type="cellIs" dxfId="689" priority="729" operator="equal">
      <formula>"Yes"</formula>
    </cfRule>
    <cfRule type="cellIs" dxfId="688" priority="730" operator="equal">
      <formula>"Pending PV"</formula>
    </cfRule>
  </conditionalFormatting>
  <conditionalFormatting sqref="I307:I308">
    <cfRule type="cellIs" dxfId="687" priority="701" operator="equal">
      <formula>"Maybe"</formula>
    </cfRule>
  </conditionalFormatting>
  <conditionalFormatting sqref="I307:I308">
    <cfRule type="cellIs" dxfId="686" priority="695" operator="equal">
      <formula>"no"</formula>
    </cfRule>
    <cfRule type="cellIs" dxfId="685" priority="696" operator="equal">
      <formula>"N/A"</formula>
    </cfRule>
    <cfRule type="cellIs" dxfId="684" priority="697" operator="equal">
      <formula>"Maybe"</formula>
    </cfRule>
    <cfRule type="cellIs" dxfId="683" priority="698" operator="equal">
      <formula>"Yes"</formula>
    </cfRule>
    <cfRule type="cellIs" dxfId="682" priority="699" operator="equal">
      <formula>"Pending PV"</formula>
    </cfRule>
    <cfRule type="cellIs" dxfId="681" priority="700" operator="equal">
      <formula>"N/A"</formula>
    </cfRule>
    <cfRule type="cellIs" dxfId="680" priority="702" operator="equal">
      <formula>"Yes"</formula>
    </cfRule>
    <cfRule type="cellIs" dxfId="679" priority="703" operator="equal">
      <formula>"Pending PV"</formula>
    </cfRule>
  </conditionalFormatting>
  <conditionalFormatting sqref="I310:I312">
    <cfRule type="cellIs" dxfId="678" priority="692" operator="equal">
      <formula>"Maybe"</formula>
    </cfRule>
  </conditionalFormatting>
  <conditionalFormatting sqref="I310:I312">
    <cfRule type="cellIs" dxfId="677" priority="686" operator="equal">
      <formula>"no"</formula>
    </cfRule>
    <cfRule type="cellIs" dxfId="676" priority="687" operator="equal">
      <formula>"N/A"</formula>
    </cfRule>
    <cfRule type="cellIs" dxfId="675" priority="688" operator="equal">
      <formula>"Maybe"</formula>
    </cfRule>
    <cfRule type="cellIs" dxfId="674" priority="689" operator="equal">
      <formula>"Yes"</formula>
    </cfRule>
    <cfRule type="cellIs" dxfId="673" priority="690" operator="equal">
      <formula>"Pending PV"</formula>
    </cfRule>
    <cfRule type="cellIs" dxfId="672" priority="691" operator="equal">
      <formula>"N/A"</formula>
    </cfRule>
    <cfRule type="cellIs" dxfId="671" priority="693" operator="equal">
      <formula>"Yes"</formula>
    </cfRule>
    <cfRule type="cellIs" dxfId="670" priority="694" operator="equal">
      <formula>"Pending PV"</formula>
    </cfRule>
  </conditionalFormatting>
  <conditionalFormatting sqref="I314">
    <cfRule type="cellIs" dxfId="669" priority="683" operator="equal">
      <formula>"Maybe"</formula>
    </cfRule>
  </conditionalFormatting>
  <conditionalFormatting sqref="I314">
    <cfRule type="cellIs" dxfId="668" priority="677" operator="equal">
      <formula>"no"</formula>
    </cfRule>
    <cfRule type="cellIs" dxfId="667" priority="678" operator="equal">
      <formula>"N/A"</formula>
    </cfRule>
    <cfRule type="cellIs" dxfId="666" priority="679" operator="equal">
      <formula>"Maybe"</formula>
    </cfRule>
    <cfRule type="cellIs" dxfId="665" priority="680" operator="equal">
      <formula>"Yes"</formula>
    </cfRule>
    <cfRule type="cellIs" dxfId="664" priority="681" operator="equal">
      <formula>"Pending PV"</formula>
    </cfRule>
    <cfRule type="cellIs" dxfId="663" priority="682" operator="equal">
      <formula>"N/A"</formula>
    </cfRule>
    <cfRule type="cellIs" dxfId="662" priority="684" operator="equal">
      <formula>"Yes"</formula>
    </cfRule>
    <cfRule type="cellIs" dxfId="661" priority="685" operator="equal">
      <formula>"Pending PV"</formula>
    </cfRule>
  </conditionalFormatting>
  <conditionalFormatting sqref="I316:I318">
    <cfRule type="cellIs" dxfId="660" priority="674" operator="equal">
      <formula>"Maybe"</formula>
    </cfRule>
  </conditionalFormatting>
  <conditionalFormatting sqref="I316:I318">
    <cfRule type="cellIs" dxfId="659" priority="668" operator="equal">
      <formula>"no"</formula>
    </cfRule>
    <cfRule type="cellIs" dxfId="658" priority="669" operator="equal">
      <formula>"N/A"</formula>
    </cfRule>
    <cfRule type="cellIs" dxfId="657" priority="670" operator="equal">
      <formula>"Maybe"</formula>
    </cfRule>
    <cfRule type="cellIs" dxfId="656" priority="671" operator="equal">
      <formula>"Yes"</formula>
    </cfRule>
    <cfRule type="cellIs" dxfId="655" priority="672" operator="equal">
      <formula>"Pending PV"</formula>
    </cfRule>
    <cfRule type="cellIs" dxfId="654" priority="673" operator="equal">
      <formula>"N/A"</formula>
    </cfRule>
    <cfRule type="cellIs" dxfId="653" priority="675" operator="equal">
      <formula>"Yes"</formula>
    </cfRule>
    <cfRule type="cellIs" dxfId="652" priority="676" operator="equal">
      <formula>"Pending PV"</formula>
    </cfRule>
  </conditionalFormatting>
  <conditionalFormatting sqref="I320:I322">
    <cfRule type="cellIs" dxfId="651" priority="665" operator="equal">
      <formula>"Maybe"</formula>
    </cfRule>
  </conditionalFormatting>
  <conditionalFormatting sqref="I320:I322">
    <cfRule type="cellIs" dxfId="650" priority="659" operator="equal">
      <formula>"no"</formula>
    </cfRule>
    <cfRule type="cellIs" dxfId="649" priority="660" operator="equal">
      <formula>"N/A"</formula>
    </cfRule>
    <cfRule type="cellIs" dxfId="648" priority="661" operator="equal">
      <formula>"Maybe"</formula>
    </cfRule>
    <cfRule type="cellIs" dxfId="647" priority="662" operator="equal">
      <formula>"Yes"</formula>
    </cfRule>
    <cfRule type="cellIs" dxfId="646" priority="663" operator="equal">
      <formula>"Pending PV"</formula>
    </cfRule>
    <cfRule type="cellIs" dxfId="645" priority="664" operator="equal">
      <formula>"N/A"</formula>
    </cfRule>
    <cfRule type="cellIs" dxfId="644" priority="666" operator="equal">
      <formula>"Yes"</formula>
    </cfRule>
    <cfRule type="cellIs" dxfId="643" priority="667" operator="equal">
      <formula>"Pending PV"</formula>
    </cfRule>
  </conditionalFormatting>
  <conditionalFormatting sqref="I324">
    <cfRule type="cellIs" dxfId="642" priority="656" operator="equal">
      <formula>"Maybe"</formula>
    </cfRule>
  </conditionalFormatting>
  <conditionalFormatting sqref="I324">
    <cfRule type="cellIs" dxfId="641" priority="650" operator="equal">
      <formula>"no"</formula>
    </cfRule>
    <cfRule type="cellIs" dxfId="640" priority="651" operator="equal">
      <formula>"N/A"</formula>
    </cfRule>
    <cfRule type="cellIs" dxfId="639" priority="652" operator="equal">
      <formula>"Maybe"</formula>
    </cfRule>
    <cfRule type="cellIs" dxfId="638" priority="653" operator="equal">
      <formula>"Yes"</formula>
    </cfRule>
    <cfRule type="cellIs" dxfId="637" priority="654" operator="equal">
      <formula>"Pending PV"</formula>
    </cfRule>
    <cfRule type="cellIs" dxfId="636" priority="655" operator="equal">
      <formula>"N/A"</formula>
    </cfRule>
    <cfRule type="cellIs" dxfId="635" priority="657" operator="equal">
      <formula>"Yes"</formula>
    </cfRule>
    <cfRule type="cellIs" dxfId="634" priority="658" operator="equal">
      <formula>"Pending PV"</formula>
    </cfRule>
  </conditionalFormatting>
  <conditionalFormatting sqref="I325">
    <cfRule type="cellIs" dxfId="633" priority="647" operator="equal">
      <formula>"Maybe"</formula>
    </cfRule>
  </conditionalFormatting>
  <conditionalFormatting sqref="I325">
    <cfRule type="cellIs" dxfId="632" priority="641" operator="equal">
      <formula>"no"</formula>
    </cfRule>
    <cfRule type="cellIs" dxfId="631" priority="642" operator="equal">
      <formula>"N/A"</formula>
    </cfRule>
    <cfRule type="cellIs" dxfId="630" priority="643" operator="equal">
      <formula>"Maybe"</formula>
    </cfRule>
    <cfRule type="cellIs" dxfId="629" priority="644" operator="equal">
      <formula>"Yes"</formula>
    </cfRule>
    <cfRule type="cellIs" dxfId="628" priority="645" operator="equal">
      <formula>"Pending PV"</formula>
    </cfRule>
    <cfRule type="cellIs" dxfId="627" priority="646" operator="equal">
      <formula>"N/A"</formula>
    </cfRule>
    <cfRule type="cellIs" dxfId="626" priority="648" operator="equal">
      <formula>"Yes"</formula>
    </cfRule>
    <cfRule type="cellIs" dxfId="625" priority="649" operator="equal">
      <formula>"Pending PV"</formula>
    </cfRule>
  </conditionalFormatting>
  <conditionalFormatting sqref="I327">
    <cfRule type="cellIs" dxfId="624" priority="629" operator="equal">
      <formula>"Maybe"</formula>
    </cfRule>
  </conditionalFormatting>
  <conditionalFormatting sqref="I327">
    <cfRule type="cellIs" dxfId="623" priority="623" operator="equal">
      <formula>"no"</formula>
    </cfRule>
    <cfRule type="cellIs" dxfId="622" priority="624" operator="equal">
      <formula>"N/A"</formula>
    </cfRule>
    <cfRule type="cellIs" dxfId="621" priority="625" operator="equal">
      <formula>"Maybe"</formula>
    </cfRule>
    <cfRule type="cellIs" dxfId="620" priority="626" operator="equal">
      <formula>"Yes"</formula>
    </cfRule>
    <cfRule type="cellIs" dxfId="619" priority="627" operator="equal">
      <formula>"Pending PV"</formula>
    </cfRule>
    <cfRule type="cellIs" dxfId="618" priority="628" operator="equal">
      <formula>"N/A"</formula>
    </cfRule>
    <cfRule type="cellIs" dxfId="617" priority="630" operator="equal">
      <formula>"Yes"</formula>
    </cfRule>
    <cfRule type="cellIs" dxfId="616" priority="631" operator="equal">
      <formula>"Pending PV"</formula>
    </cfRule>
  </conditionalFormatting>
  <conditionalFormatting sqref="I329">
    <cfRule type="cellIs" dxfId="615" priority="620" operator="equal">
      <formula>"Maybe"</formula>
    </cfRule>
  </conditionalFormatting>
  <conditionalFormatting sqref="I329">
    <cfRule type="cellIs" dxfId="614" priority="614" operator="equal">
      <formula>"no"</formula>
    </cfRule>
    <cfRule type="cellIs" dxfId="613" priority="615" operator="equal">
      <formula>"N/A"</formula>
    </cfRule>
    <cfRule type="cellIs" dxfId="612" priority="616" operator="equal">
      <formula>"Maybe"</formula>
    </cfRule>
    <cfRule type="cellIs" dxfId="611" priority="617" operator="equal">
      <formula>"Yes"</formula>
    </cfRule>
    <cfRule type="cellIs" dxfId="610" priority="618" operator="equal">
      <formula>"Pending PV"</formula>
    </cfRule>
    <cfRule type="cellIs" dxfId="609" priority="619" operator="equal">
      <formula>"N/A"</formula>
    </cfRule>
    <cfRule type="cellIs" dxfId="608" priority="621" operator="equal">
      <formula>"Yes"</formula>
    </cfRule>
    <cfRule type="cellIs" dxfId="607" priority="622" operator="equal">
      <formula>"Pending PV"</formula>
    </cfRule>
  </conditionalFormatting>
  <conditionalFormatting sqref="I331:I333">
    <cfRule type="cellIs" dxfId="606" priority="611" operator="equal">
      <formula>"Maybe"</formula>
    </cfRule>
  </conditionalFormatting>
  <conditionalFormatting sqref="I331:I333">
    <cfRule type="cellIs" dxfId="605" priority="605" operator="equal">
      <formula>"no"</formula>
    </cfRule>
    <cfRule type="cellIs" dxfId="604" priority="606" operator="equal">
      <formula>"N/A"</formula>
    </cfRule>
    <cfRule type="cellIs" dxfId="603" priority="607" operator="equal">
      <formula>"Maybe"</formula>
    </cfRule>
    <cfRule type="cellIs" dxfId="602" priority="608" operator="equal">
      <formula>"Yes"</formula>
    </cfRule>
    <cfRule type="cellIs" dxfId="601" priority="609" operator="equal">
      <formula>"Pending PV"</formula>
    </cfRule>
    <cfRule type="cellIs" dxfId="600" priority="610" operator="equal">
      <formula>"N/A"</formula>
    </cfRule>
    <cfRule type="cellIs" dxfId="599" priority="612" operator="equal">
      <formula>"Yes"</formula>
    </cfRule>
    <cfRule type="cellIs" dxfId="598" priority="613" operator="equal">
      <formula>"Pending PV"</formula>
    </cfRule>
  </conditionalFormatting>
  <conditionalFormatting sqref="I335:I336">
    <cfRule type="cellIs" dxfId="597" priority="602" operator="equal">
      <formula>"Maybe"</formula>
    </cfRule>
  </conditionalFormatting>
  <conditionalFormatting sqref="I335:I336">
    <cfRule type="cellIs" dxfId="596" priority="596" operator="equal">
      <formula>"no"</formula>
    </cfRule>
    <cfRule type="cellIs" dxfId="595" priority="597" operator="equal">
      <formula>"N/A"</formula>
    </cfRule>
    <cfRule type="cellIs" dxfId="594" priority="598" operator="equal">
      <formula>"Maybe"</formula>
    </cfRule>
    <cfRule type="cellIs" dxfId="593" priority="599" operator="equal">
      <formula>"Yes"</formula>
    </cfRule>
    <cfRule type="cellIs" dxfId="592" priority="600" operator="equal">
      <formula>"Pending PV"</formula>
    </cfRule>
    <cfRule type="cellIs" dxfId="591" priority="601" operator="equal">
      <formula>"N/A"</formula>
    </cfRule>
    <cfRule type="cellIs" dxfId="590" priority="603" operator="equal">
      <formula>"Yes"</formula>
    </cfRule>
    <cfRule type="cellIs" dxfId="589" priority="604" operator="equal">
      <formula>"Pending PV"</formula>
    </cfRule>
  </conditionalFormatting>
  <conditionalFormatting sqref="I338:I339">
    <cfRule type="cellIs" dxfId="588" priority="593" operator="equal">
      <formula>"Maybe"</formula>
    </cfRule>
  </conditionalFormatting>
  <conditionalFormatting sqref="I338:I339">
    <cfRule type="cellIs" dxfId="587" priority="587" operator="equal">
      <formula>"no"</formula>
    </cfRule>
    <cfRule type="cellIs" dxfId="586" priority="588" operator="equal">
      <formula>"N/A"</formula>
    </cfRule>
    <cfRule type="cellIs" dxfId="585" priority="589" operator="equal">
      <formula>"Maybe"</formula>
    </cfRule>
    <cfRule type="cellIs" dxfId="584" priority="590" operator="equal">
      <formula>"Yes"</formula>
    </cfRule>
    <cfRule type="cellIs" dxfId="583" priority="591" operator="equal">
      <formula>"Pending PV"</formula>
    </cfRule>
    <cfRule type="cellIs" dxfId="582" priority="592" operator="equal">
      <formula>"N/A"</formula>
    </cfRule>
    <cfRule type="cellIs" dxfId="581" priority="594" operator="equal">
      <formula>"Yes"</formula>
    </cfRule>
    <cfRule type="cellIs" dxfId="580" priority="595" operator="equal">
      <formula>"Pending PV"</formula>
    </cfRule>
  </conditionalFormatting>
  <conditionalFormatting sqref="I341:I343">
    <cfRule type="cellIs" dxfId="579" priority="584" operator="equal">
      <formula>"Maybe"</formula>
    </cfRule>
  </conditionalFormatting>
  <conditionalFormatting sqref="I341:I343">
    <cfRule type="cellIs" dxfId="578" priority="578" operator="equal">
      <formula>"no"</formula>
    </cfRule>
    <cfRule type="cellIs" dxfId="577" priority="579" operator="equal">
      <formula>"N/A"</formula>
    </cfRule>
    <cfRule type="cellIs" dxfId="576" priority="580" operator="equal">
      <formula>"Maybe"</formula>
    </cfRule>
    <cfRule type="cellIs" dxfId="575" priority="581" operator="equal">
      <formula>"Yes"</formula>
    </cfRule>
    <cfRule type="cellIs" dxfId="574" priority="582" operator="equal">
      <formula>"Pending PV"</formula>
    </cfRule>
    <cfRule type="cellIs" dxfId="573" priority="583" operator="equal">
      <formula>"N/A"</formula>
    </cfRule>
    <cfRule type="cellIs" dxfId="572" priority="585" operator="equal">
      <formula>"Yes"</formula>
    </cfRule>
    <cfRule type="cellIs" dxfId="571" priority="586" operator="equal">
      <formula>"Pending PV"</formula>
    </cfRule>
  </conditionalFormatting>
  <conditionalFormatting sqref="I345:I346">
    <cfRule type="cellIs" dxfId="570" priority="575" operator="equal">
      <formula>"Maybe"</formula>
    </cfRule>
  </conditionalFormatting>
  <conditionalFormatting sqref="I345:I346">
    <cfRule type="cellIs" dxfId="569" priority="569" operator="equal">
      <formula>"no"</formula>
    </cfRule>
    <cfRule type="cellIs" dxfId="568" priority="570" operator="equal">
      <formula>"N/A"</formula>
    </cfRule>
    <cfRule type="cellIs" dxfId="567" priority="571" operator="equal">
      <formula>"Maybe"</formula>
    </cfRule>
    <cfRule type="cellIs" dxfId="566" priority="572" operator="equal">
      <formula>"Yes"</formula>
    </cfRule>
    <cfRule type="cellIs" dxfId="565" priority="573" operator="equal">
      <formula>"Pending PV"</formula>
    </cfRule>
    <cfRule type="cellIs" dxfId="564" priority="574" operator="equal">
      <formula>"N/A"</formula>
    </cfRule>
    <cfRule type="cellIs" dxfId="563" priority="576" operator="equal">
      <formula>"Yes"</formula>
    </cfRule>
    <cfRule type="cellIs" dxfId="562" priority="577" operator="equal">
      <formula>"Pending PV"</formula>
    </cfRule>
  </conditionalFormatting>
  <conditionalFormatting sqref="I348:I349">
    <cfRule type="cellIs" dxfId="561" priority="566" operator="equal">
      <formula>"Maybe"</formula>
    </cfRule>
  </conditionalFormatting>
  <conditionalFormatting sqref="I348:I349">
    <cfRule type="cellIs" dxfId="560" priority="560" operator="equal">
      <formula>"no"</formula>
    </cfRule>
    <cfRule type="cellIs" dxfId="559" priority="561" operator="equal">
      <formula>"N/A"</formula>
    </cfRule>
    <cfRule type="cellIs" dxfId="558" priority="562" operator="equal">
      <formula>"Maybe"</formula>
    </cfRule>
    <cfRule type="cellIs" dxfId="557" priority="563" operator="equal">
      <formula>"Yes"</formula>
    </cfRule>
    <cfRule type="cellIs" dxfId="556" priority="564" operator="equal">
      <formula>"Pending PV"</formula>
    </cfRule>
    <cfRule type="cellIs" dxfId="555" priority="565" operator="equal">
      <formula>"N/A"</formula>
    </cfRule>
    <cfRule type="cellIs" dxfId="554" priority="567" operator="equal">
      <formula>"Yes"</formula>
    </cfRule>
    <cfRule type="cellIs" dxfId="553" priority="568" operator="equal">
      <formula>"Pending PV"</formula>
    </cfRule>
  </conditionalFormatting>
  <conditionalFormatting sqref="I351">
    <cfRule type="cellIs" dxfId="552" priority="557" operator="equal">
      <formula>"Maybe"</formula>
    </cfRule>
  </conditionalFormatting>
  <conditionalFormatting sqref="I351">
    <cfRule type="cellIs" dxfId="551" priority="551" operator="equal">
      <formula>"no"</formula>
    </cfRule>
    <cfRule type="cellIs" dxfId="550" priority="552" operator="equal">
      <formula>"N/A"</formula>
    </cfRule>
    <cfRule type="cellIs" dxfId="549" priority="553" operator="equal">
      <formula>"Maybe"</formula>
    </cfRule>
    <cfRule type="cellIs" dxfId="548" priority="554" operator="equal">
      <formula>"Yes"</formula>
    </cfRule>
    <cfRule type="cellIs" dxfId="547" priority="555" operator="equal">
      <formula>"Pending PV"</formula>
    </cfRule>
    <cfRule type="cellIs" dxfId="546" priority="556" operator="equal">
      <formula>"N/A"</formula>
    </cfRule>
    <cfRule type="cellIs" dxfId="545" priority="558" operator="equal">
      <formula>"Yes"</formula>
    </cfRule>
    <cfRule type="cellIs" dxfId="544" priority="559" operator="equal">
      <formula>"Pending PV"</formula>
    </cfRule>
  </conditionalFormatting>
  <conditionalFormatting sqref="I352">
    <cfRule type="cellIs" dxfId="543" priority="548" operator="equal">
      <formula>"Maybe"</formula>
    </cfRule>
  </conditionalFormatting>
  <conditionalFormatting sqref="I352">
    <cfRule type="cellIs" dxfId="542" priority="542" operator="equal">
      <formula>"no"</formula>
    </cfRule>
    <cfRule type="cellIs" dxfId="541" priority="543" operator="equal">
      <formula>"N/A"</formula>
    </cfRule>
    <cfRule type="cellIs" dxfId="540" priority="544" operator="equal">
      <formula>"Maybe"</formula>
    </cfRule>
    <cfRule type="cellIs" dxfId="539" priority="545" operator="equal">
      <formula>"Yes"</formula>
    </cfRule>
    <cfRule type="cellIs" dxfId="538" priority="546" operator="equal">
      <formula>"Pending PV"</formula>
    </cfRule>
    <cfRule type="cellIs" dxfId="537" priority="547" operator="equal">
      <formula>"N/A"</formula>
    </cfRule>
    <cfRule type="cellIs" dxfId="536" priority="549" operator="equal">
      <formula>"Yes"</formula>
    </cfRule>
    <cfRule type="cellIs" dxfId="535" priority="550" operator="equal">
      <formula>"Pending PV"</formula>
    </cfRule>
  </conditionalFormatting>
  <conditionalFormatting sqref="I354">
    <cfRule type="cellIs" dxfId="534" priority="539" operator="equal">
      <formula>"Maybe"</formula>
    </cfRule>
  </conditionalFormatting>
  <conditionalFormatting sqref="I354">
    <cfRule type="cellIs" dxfId="533" priority="533" operator="equal">
      <formula>"no"</formula>
    </cfRule>
    <cfRule type="cellIs" dxfId="532" priority="534" operator="equal">
      <formula>"N/A"</formula>
    </cfRule>
    <cfRule type="cellIs" dxfId="531" priority="535" operator="equal">
      <formula>"Maybe"</formula>
    </cfRule>
    <cfRule type="cellIs" dxfId="530" priority="536" operator="equal">
      <formula>"Yes"</formula>
    </cfRule>
    <cfRule type="cellIs" dxfId="529" priority="537" operator="equal">
      <formula>"Pending PV"</formula>
    </cfRule>
    <cfRule type="cellIs" dxfId="528" priority="538" operator="equal">
      <formula>"N/A"</formula>
    </cfRule>
    <cfRule type="cellIs" dxfId="527" priority="540" operator="equal">
      <formula>"Yes"</formula>
    </cfRule>
    <cfRule type="cellIs" dxfId="526" priority="541" operator="equal">
      <formula>"Pending PV"</formula>
    </cfRule>
  </conditionalFormatting>
  <conditionalFormatting sqref="I356:I357">
    <cfRule type="cellIs" dxfId="525" priority="530" operator="equal">
      <formula>"Maybe"</formula>
    </cfRule>
  </conditionalFormatting>
  <conditionalFormatting sqref="I356:I357">
    <cfRule type="cellIs" dxfId="524" priority="524" operator="equal">
      <formula>"no"</formula>
    </cfRule>
    <cfRule type="cellIs" dxfId="523" priority="525" operator="equal">
      <formula>"N/A"</formula>
    </cfRule>
    <cfRule type="cellIs" dxfId="522" priority="526" operator="equal">
      <formula>"Maybe"</formula>
    </cfRule>
    <cfRule type="cellIs" dxfId="521" priority="527" operator="equal">
      <formula>"Yes"</formula>
    </cfRule>
    <cfRule type="cellIs" dxfId="520" priority="528" operator="equal">
      <formula>"Pending PV"</formula>
    </cfRule>
    <cfRule type="cellIs" dxfId="519" priority="529" operator="equal">
      <formula>"N/A"</formula>
    </cfRule>
    <cfRule type="cellIs" dxfId="518" priority="531" operator="equal">
      <formula>"Yes"</formula>
    </cfRule>
    <cfRule type="cellIs" dxfId="517" priority="532" operator="equal">
      <formula>"Pending PV"</formula>
    </cfRule>
  </conditionalFormatting>
  <conditionalFormatting sqref="I359">
    <cfRule type="cellIs" dxfId="516" priority="521" operator="equal">
      <formula>"Maybe"</formula>
    </cfRule>
  </conditionalFormatting>
  <conditionalFormatting sqref="I359">
    <cfRule type="cellIs" dxfId="515" priority="515" operator="equal">
      <formula>"no"</formula>
    </cfRule>
    <cfRule type="cellIs" dxfId="514" priority="516" operator="equal">
      <formula>"N/A"</formula>
    </cfRule>
    <cfRule type="cellIs" dxfId="513" priority="517" operator="equal">
      <formula>"Maybe"</formula>
    </cfRule>
    <cfRule type="cellIs" dxfId="512" priority="518" operator="equal">
      <formula>"Yes"</formula>
    </cfRule>
    <cfRule type="cellIs" dxfId="511" priority="519" operator="equal">
      <formula>"Pending PV"</formula>
    </cfRule>
    <cfRule type="cellIs" dxfId="510" priority="520" operator="equal">
      <formula>"N/A"</formula>
    </cfRule>
    <cfRule type="cellIs" dxfId="509" priority="522" operator="equal">
      <formula>"Yes"</formula>
    </cfRule>
    <cfRule type="cellIs" dxfId="508" priority="523" operator="equal">
      <formula>"Pending PV"</formula>
    </cfRule>
  </conditionalFormatting>
  <conditionalFormatting sqref="I361">
    <cfRule type="cellIs" dxfId="507" priority="512" operator="equal">
      <formula>"Maybe"</formula>
    </cfRule>
  </conditionalFormatting>
  <conditionalFormatting sqref="I361">
    <cfRule type="cellIs" dxfId="506" priority="506" operator="equal">
      <formula>"no"</formula>
    </cfRule>
    <cfRule type="cellIs" dxfId="505" priority="507" operator="equal">
      <formula>"N/A"</formula>
    </cfRule>
    <cfRule type="cellIs" dxfId="504" priority="508" operator="equal">
      <formula>"Maybe"</formula>
    </cfRule>
    <cfRule type="cellIs" dxfId="503" priority="509" operator="equal">
      <formula>"Yes"</formula>
    </cfRule>
    <cfRule type="cellIs" dxfId="502" priority="510" operator="equal">
      <formula>"Pending PV"</formula>
    </cfRule>
    <cfRule type="cellIs" dxfId="501" priority="511" operator="equal">
      <formula>"N/A"</formula>
    </cfRule>
    <cfRule type="cellIs" dxfId="500" priority="513" operator="equal">
      <formula>"Yes"</formula>
    </cfRule>
    <cfRule type="cellIs" dxfId="499" priority="514" operator="equal">
      <formula>"Pending PV"</formula>
    </cfRule>
  </conditionalFormatting>
  <conditionalFormatting sqref="I366">
    <cfRule type="cellIs" dxfId="498" priority="494" operator="equal">
      <formula>"Maybe"</formula>
    </cfRule>
  </conditionalFormatting>
  <conditionalFormatting sqref="I366">
    <cfRule type="cellIs" dxfId="497" priority="488" operator="equal">
      <formula>"no"</formula>
    </cfRule>
    <cfRule type="cellIs" dxfId="496" priority="489" operator="equal">
      <formula>"N/A"</formula>
    </cfRule>
    <cfRule type="cellIs" dxfId="495" priority="490" operator="equal">
      <formula>"Maybe"</formula>
    </cfRule>
    <cfRule type="cellIs" dxfId="494" priority="491" operator="equal">
      <formula>"Yes"</formula>
    </cfRule>
    <cfRule type="cellIs" dxfId="493" priority="492" operator="equal">
      <formula>"Pending PV"</formula>
    </cfRule>
    <cfRule type="cellIs" dxfId="492" priority="493" operator="equal">
      <formula>"N/A"</formula>
    </cfRule>
    <cfRule type="cellIs" dxfId="491" priority="495" operator="equal">
      <formula>"Yes"</formula>
    </cfRule>
    <cfRule type="cellIs" dxfId="490" priority="496" operator="equal">
      <formula>"Pending PV"</formula>
    </cfRule>
  </conditionalFormatting>
  <conditionalFormatting sqref="I363">
    <cfRule type="cellIs" dxfId="489" priority="467" operator="equal">
      <formula>"Maybe"</formula>
    </cfRule>
  </conditionalFormatting>
  <conditionalFormatting sqref="I363">
    <cfRule type="cellIs" dxfId="488" priority="461" operator="equal">
      <formula>"no"</formula>
    </cfRule>
    <cfRule type="cellIs" dxfId="487" priority="462" operator="equal">
      <formula>"N/A"</formula>
    </cfRule>
    <cfRule type="cellIs" dxfId="486" priority="463" operator="equal">
      <formula>"Maybe"</formula>
    </cfRule>
    <cfRule type="cellIs" dxfId="485" priority="464" operator="equal">
      <formula>"Yes"</formula>
    </cfRule>
    <cfRule type="cellIs" dxfId="484" priority="465" operator="equal">
      <formula>"Pending PV"</formula>
    </cfRule>
    <cfRule type="cellIs" dxfId="483" priority="466" operator="equal">
      <formula>"N/A"</formula>
    </cfRule>
    <cfRule type="cellIs" dxfId="482" priority="468" operator="equal">
      <formula>"Yes"</formula>
    </cfRule>
    <cfRule type="cellIs" dxfId="481" priority="469" operator="equal">
      <formula>"Pending PV"</formula>
    </cfRule>
  </conditionalFormatting>
  <conditionalFormatting sqref="I364">
    <cfRule type="cellIs" dxfId="480" priority="458" operator="equal">
      <formula>"Maybe"</formula>
    </cfRule>
  </conditionalFormatting>
  <conditionalFormatting sqref="I364">
    <cfRule type="cellIs" dxfId="479" priority="452" operator="equal">
      <formula>"no"</formula>
    </cfRule>
    <cfRule type="cellIs" dxfId="478" priority="453" operator="equal">
      <formula>"N/A"</formula>
    </cfRule>
    <cfRule type="cellIs" dxfId="477" priority="454" operator="equal">
      <formula>"Maybe"</formula>
    </cfRule>
    <cfRule type="cellIs" dxfId="476" priority="455" operator="equal">
      <formula>"Yes"</formula>
    </cfRule>
    <cfRule type="cellIs" dxfId="475" priority="456" operator="equal">
      <formula>"Pending PV"</formula>
    </cfRule>
    <cfRule type="cellIs" dxfId="474" priority="457" operator="equal">
      <formula>"N/A"</formula>
    </cfRule>
    <cfRule type="cellIs" dxfId="473" priority="459" operator="equal">
      <formula>"Yes"</formula>
    </cfRule>
    <cfRule type="cellIs" dxfId="472" priority="460" operator="equal">
      <formula>"Pending PV"</formula>
    </cfRule>
  </conditionalFormatting>
  <conditionalFormatting sqref="F22">
    <cfRule type="containsText" dxfId="471" priority="451" operator="containsText" text="one">
      <formula>NOT(ISERROR(SEARCH("one",F22)))</formula>
    </cfRule>
  </conditionalFormatting>
  <conditionalFormatting sqref="I101">
    <cfRule type="cellIs" dxfId="470" priority="448" operator="equal">
      <formula>"Maybe"</formula>
    </cfRule>
  </conditionalFormatting>
  <conditionalFormatting sqref="I101">
    <cfRule type="cellIs" dxfId="469" priority="442" operator="equal">
      <formula>"no"</formula>
    </cfRule>
    <cfRule type="cellIs" dxfId="468" priority="443" operator="equal">
      <formula>"N/A"</formula>
    </cfRule>
    <cfRule type="cellIs" dxfId="467" priority="444" operator="equal">
      <formula>"Maybe"</formula>
    </cfRule>
    <cfRule type="cellIs" dxfId="466" priority="445" operator="equal">
      <formula>"Yes"</formula>
    </cfRule>
    <cfRule type="cellIs" dxfId="465" priority="446" operator="equal">
      <formula>"Pending PV"</formula>
    </cfRule>
    <cfRule type="cellIs" dxfId="464" priority="447" operator="equal">
      <formula>"N/A"</formula>
    </cfRule>
    <cfRule type="cellIs" dxfId="463" priority="449" operator="equal">
      <formula>"Yes"</formula>
    </cfRule>
    <cfRule type="cellIs" dxfId="462" priority="450" operator="equal">
      <formula>"Pending PV"</formula>
    </cfRule>
  </conditionalFormatting>
  <conditionalFormatting sqref="I102">
    <cfRule type="cellIs" dxfId="461" priority="439" operator="equal">
      <formula>"Maybe"</formula>
    </cfRule>
  </conditionalFormatting>
  <conditionalFormatting sqref="I102">
    <cfRule type="cellIs" dxfId="460" priority="433" operator="equal">
      <formula>"no"</formula>
    </cfRule>
    <cfRule type="cellIs" dxfId="459" priority="434" operator="equal">
      <formula>"N/A"</formula>
    </cfRule>
    <cfRule type="cellIs" dxfId="458" priority="435" operator="equal">
      <formula>"Maybe"</formula>
    </cfRule>
    <cfRule type="cellIs" dxfId="457" priority="436" operator="equal">
      <formula>"Yes"</formula>
    </cfRule>
    <cfRule type="cellIs" dxfId="456" priority="437" operator="equal">
      <formula>"Pending PV"</formula>
    </cfRule>
    <cfRule type="cellIs" dxfId="455" priority="438" operator="equal">
      <formula>"N/A"</formula>
    </cfRule>
    <cfRule type="cellIs" dxfId="454" priority="440" operator="equal">
      <formula>"Yes"</formula>
    </cfRule>
    <cfRule type="cellIs" dxfId="453" priority="441" operator="equal">
      <formula>"Pending PV"</formula>
    </cfRule>
  </conditionalFormatting>
  <conditionalFormatting sqref="I104">
    <cfRule type="cellIs" dxfId="452" priority="430" operator="equal">
      <formula>"Maybe"</formula>
    </cfRule>
  </conditionalFormatting>
  <conditionalFormatting sqref="I104">
    <cfRule type="cellIs" dxfId="451" priority="424" operator="equal">
      <formula>"no"</formula>
    </cfRule>
    <cfRule type="cellIs" dxfId="450" priority="425" operator="equal">
      <formula>"N/A"</formula>
    </cfRule>
    <cfRule type="cellIs" dxfId="449" priority="426" operator="equal">
      <formula>"Maybe"</formula>
    </cfRule>
    <cfRule type="cellIs" dxfId="448" priority="427" operator="equal">
      <formula>"Yes"</formula>
    </cfRule>
    <cfRule type="cellIs" dxfId="447" priority="428" operator="equal">
      <formula>"Pending PV"</formula>
    </cfRule>
    <cfRule type="cellIs" dxfId="446" priority="429" operator="equal">
      <formula>"N/A"</formula>
    </cfRule>
    <cfRule type="cellIs" dxfId="445" priority="431" operator="equal">
      <formula>"Yes"</formula>
    </cfRule>
    <cfRule type="cellIs" dxfId="444" priority="432" operator="equal">
      <formula>"Pending PV"</formula>
    </cfRule>
  </conditionalFormatting>
  <conditionalFormatting sqref="I130">
    <cfRule type="cellIs" dxfId="443" priority="421" operator="equal">
      <formula>"Maybe"</formula>
    </cfRule>
  </conditionalFormatting>
  <conditionalFormatting sqref="I130">
    <cfRule type="cellIs" dxfId="442" priority="415" operator="equal">
      <formula>"no"</formula>
    </cfRule>
    <cfRule type="cellIs" dxfId="441" priority="416" operator="equal">
      <formula>"N/A"</formula>
    </cfRule>
    <cfRule type="cellIs" dxfId="440" priority="417" operator="equal">
      <formula>"Maybe"</formula>
    </cfRule>
    <cfRule type="cellIs" dxfId="439" priority="418" operator="equal">
      <formula>"Yes"</formula>
    </cfRule>
    <cfRule type="cellIs" dxfId="438" priority="419" operator="equal">
      <formula>"Pending PV"</formula>
    </cfRule>
    <cfRule type="cellIs" dxfId="437" priority="420" operator="equal">
      <formula>"N/A"</formula>
    </cfRule>
    <cfRule type="cellIs" dxfId="436" priority="422" operator="equal">
      <formula>"Yes"</formula>
    </cfRule>
    <cfRule type="cellIs" dxfId="435" priority="423" operator="equal">
      <formula>"Pending PV"</formula>
    </cfRule>
  </conditionalFormatting>
  <conditionalFormatting sqref="I131">
    <cfRule type="cellIs" dxfId="434" priority="412" operator="equal">
      <formula>"Maybe"</formula>
    </cfRule>
  </conditionalFormatting>
  <conditionalFormatting sqref="I131">
    <cfRule type="cellIs" dxfId="433" priority="406" operator="equal">
      <formula>"no"</formula>
    </cfRule>
    <cfRule type="cellIs" dxfId="432" priority="407" operator="equal">
      <formula>"N/A"</formula>
    </cfRule>
    <cfRule type="cellIs" dxfId="431" priority="408" operator="equal">
      <formula>"Maybe"</formula>
    </cfRule>
    <cfRule type="cellIs" dxfId="430" priority="409" operator="equal">
      <formula>"Yes"</formula>
    </cfRule>
    <cfRule type="cellIs" dxfId="429" priority="410" operator="equal">
      <formula>"Pending PV"</formula>
    </cfRule>
    <cfRule type="cellIs" dxfId="428" priority="411" operator="equal">
      <formula>"N/A"</formula>
    </cfRule>
    <cfRule type="cellIs" dxfId="427" priority="413" operator="equal">
      <formula>"Yes"</formula>
    </cfRule>
    <cfRule type="cellIs" dxfId="426" priority="414" operator="equal">
      <formula>"Pending PV"</formula>
    </cfRule>
  </conditionalFormatting>
  <conditionalFormatting sqref="I133">
    <cfRule type="cellIs" dxfId="425" priority="403" operator="equal">
      <formula>"Maybe"</formula>
    </cfRule>
  </conditionalFormatting>
  <conditionalFormatting sqref="I133">
    <cfRule type="cellIs" dxfId="424" priority="397" operator="equal">
      <formula>"no"</formula>
    </cfRule>
    <cfRule type="cellIs" dxfId="423" priority="398" operator="equal">
      <formula>"N/A"</formula>
    </cfRule>
    <cfRule type="cellIs" dxfId="422" priority="399" operator="equal">
      <formula>"Maybe"</formula>
    </cfRule>
    <cfRule type="cellIs" dxfId="421" priority="400" operator="equal">
      <formula>"Yes"</formula>
    </cfRule>
    <cfRule type="cellIs" dxfId="420" priority="401" operator="equal">
      <formula>"Pending PV"</formula>
    </cfRule>
    <cfRule type="cellIs" dxfId="419" priority="402" operator="equal">
      <formula>"N/A"</formula>
    </cfRule>
    <cfRule type="cellIs" dxfId="418" priority="404" operator="equal">
      <formula>"Yes"</formula>
    </cfRule>
    <cfRule type="cellIs" dxfId="417" priority="405" operator="equal">
      <formula>"Pending PV"</formula>
    </cfRule>
  </conditionalFormatting>
  <conditionalFormatting sqref="I161">
    <cfRule type="cellIs" dxfId="416" priority="394" operator="equal">
      <formula>"Maybe"</formula>
    </cfRule>
  </conditionalFormatting>
  <conditionalFormatting sqref="I161">
    <cfRule type="cellIs" dxfId="415" priority="388" operator="equal">
      <formula>"no"</formula>
    </cfRule>
    <cfRule type="cellIs" dxfId="414" priority="389" operator="equal">
      <formula>"N/A"</formula>
    </cfRule>
    <cfRule type="cellIs" dxfId="413" priority="390" operator="equal">
      <formula>"Maybe"</formula>
    </cfRule>
    <cfRule type="cellIs" dxfId="412" priority="391" operator="equal">
      <formula>"Yes"</formula>
    </cfRule>
    <cfRule type="cellIs" dxfId="411" priority="392" operator="equal">
      <formula>"Pending PV"</formula>
    </cfRule>
    <cfRule type="cellIs" dxfId="410" priority="393" operator="equal">
      <formula>"N/A"</formula>
    </cfRule>
    <cfRule type="cellIs" dxfId="409" priority="395" operator="equal">
      <formula>"Yes"</formula>
    </cfRule>
    <cfRule type="cellIs" dxfId="408" priority="396" operator="equal">
      <formula>"Pending PV"</formula>
    </cfRule>
  </conditionalFormatting>
  <conditionalFormatting sqref="I163">
    <cfRule type="cellIs" dxfId="407" priority="385" operator="equal">
      <formula>"Maybe"</formula>
    </cfRule>
  </conditionalFormatting>
  <conditionalFormatting sqref="I163">
    <cfRule type="cellIs" dxfId="406" priority="379" operator="equal">
      <formula>"no"</formula>
    </cfRule>
    <cfRule type="cellIs" dxfId="405" priority="380" operator="equal">
      <formula>"N/A"</formula>
    </cfRule>
    <cfRule type="cellIs" dxfId="404" priority="381" operator="equal">
      <formula>"Maybe"</formula>
    </cfRule>
    <cfRule type="cellIs" dxfId="403" priority="382" operator="equal">
      <formula>"Yes"</formula>
    </cfRule>
    <cfRule type="cellIs" dxfId="402" priority="383" operator="equal">
      <formula>"Pending PV"</formula>
    </cfRule>
    <cfRule type="cellIs" dxfId="401" priority="384" operator="equal">
      <formula>"N/A"</formula>
    </cfRule>
    <cfRule type="cellIs" dxfId="400" priority="386" operator="equal">
      <formula>"Yes"</formula>
    </cfRule>
    <cfRule type="cellIs" dxfId="399" priority="387" operator="equal">
      <formula>"Pending PV"</formula>
    </cfRule>
  </conditionalFormatting>
  <conditionalFormatting sqref="I164">
    <cfRule type="cellIs" dxfId="398" priority="376" operator="equal">
      <formula>"Maybe"</formula>
    </cfRule>
  </conditionalFormatting>
  <conditionalFormatting sqref="I164">
    <cfRule type="cellIs" dxfId="397" priority="370" operator="equal">
      <formula>"no"</formula>
    </cfRule>
    <cfRule type="cellIs" dxfId="396" priority="371" operator="equal">
      <formula>"N/A"</formula>
    </cfRule>
    <cfRule type="cellIs" dxfId="395" priority="372" operator="equal">
      <formula>"Maybe"</formula>
    </cfRule>
    <cfRule type="cellIs" dxfId="394" priority="373" operator="equal">
      <formula>"Yes"</formula>
    </cfRule>
    <cfRule type="cellIs" dxfId="393" priority="374" operator="equal">
      <formula>"Pending PV"</formula>
    </cfRule>
    <cfRule type="cellIs" dxfId="392" priority="375" operator="equal">
      <formula>"N/A"</formula>
    </cfRule>
    <cfRule type="cellIs" dxfId="391" priority="377" operator="equal">
      <formula>"Yes"</formula>
    </cfRule>
    <cfRule type="cellIs" dxfId="390" priority="378" operator="equal">
      <formula>"Pending PV"</formula>
    </cfRule>
  </conditionalFormatting>
  <conditionalFormatting sqref="I205">
    <cfRule type="cellIs" dxfId="389" priority="367" operator="equal">
      <formula>"Maybe"</formula>
    </cfRule>
  </conditionalFormatting>
  <conditionalFormatting sqref="I205">
    <cfRule type="cellIs" dxfId="388" priority="361" operator="equal">
      <formula>"no"</formula>
    </cfRule>
    <cfRule type="cellIs" dxfId="387" priority="362" operator="equal">
      <formula>"N/A"</formula>
    </cfRule>
    <cfRule type="cellIs" dxfId="386" priority="363" operator="equal">
      <formula>"Maybe"</formula>
    </cfRule>
    <cfRule type="cellIs" dxfId="385" priority="364" operator="equal">
      <formula>"Yes"</formula>
    </cfRule>
    <cfRule type="cellIs" dxfId="384" priority="365" operator="equal">
      <formula>"Pending PV"</formula>
    </cfRule>
    <cfRule type="cellIs" dxfId="383" priority="366" operator="equal">
      <formula>"N/A"</formula>
    </cfRule>
    <cfRule type="cellIs" dxfId="382" priority="368" operator="equal">
      <formula>"Yes"</formula>
    </cfRule>
    <cfRule type="cellIs" dxfId="381" priority="369" operator="equal">
      <formula>"Pending PV"</formula>
    </cfRule>
  </conditionalFormatting>
  <conditionalFormatting sqref="I206">
    <cfRule type="cellIs" dxfId="380" priority="358" operator="equal">
      <formula>"Maybe"</formula>
    </cfRule>
  </conditionalFormatting>
  <conditionalFormatting sqref="I206">
    <cfRule type="cellIs" dxfId="379" priority="352" operator="equal">
      <formula>"no"</formula>
    </cfRule>
    <cfRule type="cellIs" dxfId="378" priority="353" operator="equal">
      <formula>"N/A"</formula>
    </cfRule>
    <cfRule type="cellIs" dxfId="377" priority="354" operator="equal">
      <formula>"Maybe"</formula>
    </cfRule>
    <cfRule type="cellIs" dxfId="376" priority="355" operator="equal">
      <formula>"Yes"</formula>
    </cfRule>
    <cfRule type="cellIs" dxfId="375" priority="356" operator="equal">
      <formula>"Pending PV"</formula>
    </cfRule>
    <cfRule type="cellIs" dxfId="374" priority="357" operator="equal">
      <formula>"N/A"</formula>
    </cfRule>
    <cfRule type="cellIs" dxfId="373" priority="359" operator="equal">
      <formula>"Yes"</formula>
    </cfRule>
    <cfRule type="cellIs" dxfId="372" priority="360" operator="equal">
      <formula>"Pending PV"</formula>
    </cfRule>
  </conditionalFormatting>
  <conditionalFormatting sqref="I207">
    <cfRule type="cellIs" dxfId="371" priority="349" operator="equal">
      <formula>"Maybe"</formula>
    </cfRule>
  </conditionalFormatting>
  <conditionalFormatting sqref="I207">
    <cfRule type="cellIs" dxfId="370" priority="343" operator="equal">
      <formula>"no"</formula>
    </cfRule>
    <cfRule type="cellIs" dxfId="369" priority="344" operator="equal">
      <formula>"N/A"</formula>
    </cfRule>
    <cfRule type="cellIs" dxfId="368" priority="345" operator="equal">
      <formula>"Maybe"</formula>
    </cfRule>
    <cfRule type="cellIs" dxfId="367" priority="346" operator="equal">
      <formula>"Yes"</formula>
    </cfRule>
    <cfRule type="cellIs" dxfId="366" priority="347" operator="equal">
      <formula>"Pending PV"</formula>
    </cfRule>
    <cfRule type="cellIs" dxfId="365" priority="348" operator="equal">
      <formula>"N/A"</formula>
    </cfRule>
    <cfRule type="cellIs" dxfId="364" priority="350" operator="equal">
      <formula>"Yes"</formula>
    </cfRule>
    <cfRule type="cellIs" dxfId="363" priority="351" operator="equal">
      <formula>"Pending PV"</formula>
    </cfRule>
  </conditionalFormatting>
  <conditionalFormatting sqref="I209">
    <cfRule type="cellIs" dxfId="362" priority="340" operator="equal">
      <formula>"Maybe"</formula>
    </cfRule>
  </conditionalFormatting>
  <conditionalFormatting sqref="I209">
    <cfRule type="cellIs" dxfId="361" priority="334" operator="equal">
      <formula>"no"</formula>
    </cfRule>
    <cfRule type="cellIs" dxfId="360" priority="335" operator="equal">
      <formula>"N/A"</formula>
    </cfRule>
    <cfRule type="cellIs" dxfId="359" priority="336" operator="equal">
      <formula>"Maybe"</formula>
    </cfRule>
    <cfRule type="cellIs" dxfId="358" priority="337" operator="equal">
      <formula>"Yes"</formula>
    </cfRule>
    <cfRule type="cellIs" dxfId="357" priority="338" operator="equal">
      <formula>"Pending PV"</formula>
    </cfRule>
    <cfRule type="cellIs" dxfId="356" priority="339" operator="equal">
      <formula>"N/A"</formula>
    </cfRule>
    <cfRule type="cellIs" dxfId="355" priority="341" operator="equal">
      <formula>"Yes"</formula>
    </cfRule>
    <cfRule type="cellIs" dxfId="354" priority="342" operator="equal">
      <formula>"Pending PV"</formula>
    </cfRule>
  </conditionalFormatting>
  <conditionalFormatting sqref="I210">
    <cfRule type="cellIs" dxfId="353" priority="331" operator="equal">
      <formula>"Maybe"</formula>
    </cfRule>
  </conditionalFormatting>
  <conditionalFormatting sqref="I210">
    <cfRule type="cellIs" dxfId="352" priority="325" operator="equal">
      <formula>"no"</formula>
    </cfRule>
    <cfRule type="cellIs" dxfId="351" priority="326" operator="equal">
      <formula>"N/A"</formula>
    </cfRule>
    <cfRule type="cellIs" dxfId="350" priority="327" operator="equal">
      <formula>"Maybe"</formula>
    </cfRule>
    <cfRule type="cellIs" dxfId="349" priority="328" operator="equal">
      <formula>"Yes"</formula>
    </cfRule>
    <cfRule type="cellIs" dxfId="348" priority="329" operator="equal">
      <formula>"Pending PV"</formula>
    </cfRule>
    <cfRule type="cellIs" dxfId="347" priority="330" operator="equal">
      <formula>"N/A"</formula>
    </cfRule>
    <cfRule type="cellIs" dxfId="346" priority="332" operator="equal">
      <formula>"Yes"</formula>
    </cfRule>
    <cfRule type="cellIs" dxfId="345" priority="333" operator="equal">
      <formula>"Pending PV"</formula>
    </cfRule>
  </conditionalFormatting>
  <conditionalFormatting sqref="I246">
    <cfRule type="cellIs" dxfId="344" priority="322" operator="equal">
      <formula>"Maybe"</formula>
    </cfRule>
  </conditionalFormatting>
  <conditionalFormatting sqref="I246">
    <cfRule type="cellIs" dxfId="343" priority="316" operator="equal">
      <formula>"no"</formula>
    </cfRule>
    <cfRule type="cellIs" dxfId="342" priority="317" operator="equal">
      <formula>"N/A"</formula>
    </cfRule>
    <cfRule type="cellIs" dxfId="341" priority="318" operator="equal">
      <formula>"Maybe"</formula>
    </cfRule>
    <cfRule type="cellIs" dxfId="340" priority="319" operator="equal">
      <formula>"Yes"</formula>
    </cfRule>
    <cfRule type="cellIs" dxfId="339" priority="320" operator="equal">
      <formula>"Pending PV"</formula>
    </cfRule>
    <cfRule type="cellIs" dxfId="338" priority="321" operator="equal">
      <formula>"N/A"</formula>
    </cfRule>
    <cfRule type="cellIs" dxfId="337" priority="323" operator="equal">
      <formula>"Yes"</formula>
    </cfRule>
    <cfRule type="cellIs" dxfId="336" priority="324" operator="equal">
      <formula>"Pending PV"</formula>
    </cfRule>
  </conditionalFormatting>
  <conditionalFormatting sqref="I248">
    <cfRule type="cellIs" dxfId="335" priority="313" operator="equal">
      <formula>"Maybe"</formula>
    </cfRule>
  </conditionalFormatting>
  <conditionalFormatting sqref="I248">
    <cfRule type="cellIs" dxfId="334" priority="307" operator="equal">
      <formula>"no"</formula>
    </cfRule>
    <cfRule type="cellIs" dxfId="333" priority="308" operator="equal">
      <formula>"N/A"</formula>
    </cfRule>
    <cfRule type="cellIs" dxfId="332" priority="309" operator="equal">
      <formula>"Maybe"</formula>
    </cfRule>
    <cfRule type="cellIs" dxfId="331" priority="310" operator="equal">
      <formula>"Yes"</formula>
    </cfRule>
    <cfRule type="cellIs" dxfId="330" priority="311" operator="equal">
      <formula>"Pending PV"</formula>
    </cfRule>
    <cfRule type="cellIs" dxfId="329" priority="312" operator="equal">
      <formula>"N/A"</formula>
    </cfRule>
    <cfRule type="cellIs" dxfId="328" priority="314" operator="equal">
      <formula>"Yes"</formula>
    </cfRule>
    <cfRule type="cellIs" dxfId="327" priority="315" operator="equal">
      <formula>"Pending PV"</formula>
    </cfRule>
  </conditionalFormatting>
  <conditionalFormatting sqref="I266">
    <cfRule type="cellIs" dxfId="326" priority="304" operator="equal">
      <formula>"Maybe"</formula>
    </cfRule>
  </conditionalFormatting>
  <conditionalFormatting sqref="I266">
    <cfRule type="cellIs" dxfId="325" priority="298" operator="equal">
      <formula>"no"</formula>
    </cfRule>
    <cfRule type="cellIs" dxfId="324" priority="299" operator="equal">
      <formula>"N/A"</formula>
    </cfRule>
    <cfRule type="cellIs" dxfId="323" priority="300" operator="equal">
      <formula>"Maybe"</formula>
    </cfRule>
    <cfRule type="cellIs" dxfId="322" priority="301" operator="equal">
      <formula>"Yes"</formula>
    </cfRule>
    <cfRule type="cellIs" dxfId="321" priority="302" operator="equal">
      <formula>"Pending PV"</formula>
    </cfRule>
    <cfRule type="cellIs" dxfId="320" priority="303" operator="equal">
      <formula>"N/A"</formula>
    </cfRule>
    <cfRule type="cellIs" dxfId="319" priority="305" operator="equal">
      <formula>"Yes"</formula>
    </cfRule>
    <cfRule type="cellIs" dxfId="318" priority="306" operator="equal">
      <formula>"Pending PV"</formula>
    </cfRule>
  </conditionalFormatting>
  <conditionalFormatting sqref="I267">
    <cfRule type="cellIs" dxfId="317" priority="295" operator="equal">
      <formula>"Maybe"</formula>
    </cfRule>
  </conditionalFormatting>
  <conditionalFormatting sqref="I267">
    <cfRule type="cellIs" dxfId="316" priority="289" operator="equal">
      <formula>"no"</formula>
    </cfRule>
    <cfRule type="cellIs" dxfId="315" priority="290" operator="equal">
      <formula>"N/A"</formula>
    </cfRule>
    <cfRule type="cellIs" dxfId="314" priority="291" operator="equal">
      <formula>"Maybe"</formula>
    </cfRule>
    <cfRule type="cellIs" dxfId="313" priority="292" operator="equal">
      <formula>"Yes"</formula>
    </cfRule>
    <cfRule type="cellIs" dxfId="312" priority="293" operator="equal">
      <formula>"Pending PV"</formula>
    </cfRule>
    <cfRule type="cellIs" dxfId="311" priority="294" operator="equal">
      <formula>"N/A"</formula>
    </cfRule>
    <cfRule type="cellIs" dxfId="310" priority="296" operator="equal">
      <formula>"Yes"</formula>
    </cfRule>
    <cfRule type="cellIs" dxfId="309" priority="297" operator="equal">
      <formula>"Pending PV"</formula>
    </cfRule>
  </conditionalFormatting>
  <conditionalFormatting sqref="I275">
    <cfRule type="cellIs" dxfId="308" priority="286" operator="equal">
      <formula>"Maybe"</formula>
    </cfRule>
  </conditionalFormatting>
  <conditionalFormatting sqref="I275">
    <cfRule type="cellIs" dxfId="307" priority="280" operator="equal">
      <formula>"no"</formula>
    </cfRule>
    <cfRule type="cellIs" dxfId="306" priority="281" operator="equal">
      <formula>"N/A"</formula>
    </cfRule>
    <cfRule type="cellIs" dxfId="305" priority="282" operator="equal">
      <formula>"Maybe"</formula>
    </cfRule>
    <cfRule type="cellIs" dxfId="304" priority="283" operator="equal">
      <formula>"Yes"</formula>
    </cfRule>
    <cfRule type="cellIs" dxfId="303" priority="284" operator="equal">
      <formula>"Pending PV"</formula>
    </cfRule>
    <cfRule type="cellIs" dxfId="302" priority="285" operator="equal">
      <formula>"N/A"</formula>
    </cfRule>
    <cfRule type="cellIs" dxfId="301" priority="287" operator="equal">
      <formula>"Yes"</formula>
    </cfRule>
    <cfRule type="cellIs" dxfId="300" priority="288" operator="equal">
      <formula>"Pending PV"</formula>
    </cfRule>
  </conditionalFormatting>
  <conditionalFormatting sqref="I303">
    <cfRule type="cellIs" dxfId="299" priority="277" operator="equal">
      <formula>"Maybe"</formula>
    </cfRule>
  </conditionalFormatting>
  <conditionalFormatting sqref="I303">
    <cfRule type="cellIs" dxfId="298" priority="271" operator="equal">
      <formula>"no"</formula>
    </cfRule>
    <cfRule type="cellIs" dxfId="297" priority="272" operator="equal">
      <formula>"N/A"</formula>
    </cfRule>
    <cfRule type="cellIs" dxfId="296" priority="273" operator="equal">
      <formula>"Maybe"</formula>
    </cfRule>
    <cfRule type="cellIs" dxfId="295" priority="274" operator="equal">
      <formula>"Yes"</formula>
    </cfRule>
    <cfRule type="cellIs" dxfId="294" priority="275" operator="equal">
      <formula>"Pending PV"</formula>
    </cfRule>
    <cfRule type="cellIs" dxfId="293" priority="276" operator="equal">
      <formula>"N/A"</formula>
    </cfRule>
    <cfRule type="cellIs" dxfId="292" priority="278" operator="equal">
      <formula>"Yes"</formula>
    </cfRule>
    <cfRule type="cellIs" dxfId="291" priority="279" operator="equal">
      <formula>"Pending PV"</formula>
    </cfRule>
  </conditionalFormatting>
  <conditionalFormatting sqref="I305">
    <cfRule type="cellIs" dxfId="290" priority="268" operator="equal">
      <formula>"Maybe"</formula>
    </cfRule>
  </conditionalFormatting>
  <conditionalFormatting sqref="I305">
    <cfRule type="cellIs" dxfId="289" priority="262" operator="equal">
      <formula>"no"</formula>
    </cfRule>
    <cfRule type="cellIs" dxfId="288" priority="263" operator="equal">
      <formula>"N/A"</formula>
    </cfRule>
    <cfRule type="cellIs" dxfId="287" priority="264" operator="equal">
      <formula>"Maybe"</formula>
    </cfRule>
    <cfRule type="cellIs" dxfId="286" priority="265" operator="equal">
      <formula>"Yes"</formula>
    </cfRule>
    <cfRule type="cellIs" dxfId="285" priority="266" operator="equal">
      <formula>"Pending PV"</formula>
    </cfRule>
    <cfRule type="cellIs" dxfId="284" priority="267" operator="equal">
      <formula>"N/A"</formula>
    </cfRule>
    <cfRule type="cellIs" dxfId="283" priority="269" operator="equal">
      <formula>"Yes"</formula>
    </cfRule>
    <cfRule type="cellIs" dxfId="282" priority="270" operator="equal">
      <formula>"Pending PV"</formula>
    </cfRule>
  </conditionalFormatting>
  <conditionalFormatting sqref="I233">
    <cfRule type="cellIs" dxfId="281" priority="259" operator="equal">
      <formula>"Maybe"</formula>
    </cfRule>
  </conditionalFormatting>
  <conditionalFormatting sqref="I233">
    <cfRule type="cellIs" dxfId="280" priority="253" operator="equal">
      <formula>"no"</formula>
    </cfRule>
    <cfRule type="cellIs" dxfId="279" priority="254" operator="equal">
      <formula>"N/A"</formula>
    </cfRule>
    <cfRule type="cellIs" dxfId="278" priority="255" operator="equal">
      <formula>"Maybe"</formula>
    </cfRule>
    <cfRule type="cellIs" dxfId="277" priority="256" operator="equal">
      <formula>"Yes"</formula>
    </cfRule>
    <cfRule type="cellIs" dxfId="276" priority="257" operator="equal">
      <formula>"Pending PV"</formula>
    </cfRule>
    <cfRule type="cellIs" dxfId="275" priority="258" operator="equal">
      <formula>"N/A"</formula>
    </cfRule>
    <cfRule type="cellIs" dxfId="274" priority="260" operator="equal">
      <formula>"Yes"</formula>
    </cfRule>
    <cfRule type="cellIs" dxfId="273" priority="261" operator="equal">
      <formula>"Pending PV"</formula>
    </cfRule>
  </conditionalFormatting>
  <conditionalFormatting sqref="I235">
    <cfRule type="cellIs" dxfId="272" priority="250" operator="equal">
      <formula>"Maybe"</formula>
    </cfRule>
  </conditionalFormatting>
  <conditionalFormatting sqref="I235">
    <cfRule type="cellIs" dxfId="271" priority="244" operator="equal">
      <formula>"no"</formula>
    </cfRule>
    <cfRule type="cellIs" dxfId="270" priority="245" operator="equal">
      <formula>"N/A"</formula>
    </cfRule>
    <cfRule type="cellIs" dxfId="269" priority="246" operator="equal">
      <formula>"Maybe"</formula>
    </cfRule>
    <cfRule type="cellIs" dxfId="268" priority="247" operator="equal">
      <formula>"Yes"</formula>
    </cfRule>
    <cfRule type="cellIs" dxfId="267" priority="248" operator="equal">
      <formula>"Pending PV"</formula>
    </cfRule>
    <cfRule type="cellIs" dxfId="266" priority="249" operator="equal">
      <formula>"N/A"</formula>
    </cfRule>
    <cfRule type="cellIs" dxfId="265" priority="251" operator="equal">
      <formula>"Yes"</formula>
    </cfRule>
    <cfRule type="cellIs" dxfId="264" priority="252" operator="equal">
      <formula>"Pending PV"</formula>
    </cfRule>
  </conditionalFormatting>
  <conditionalFormatting sqref="I237">
    <cfRule type="cellIs" dxfId="263" priority="241" operator="equal">
      <formula>"Maybe"</formula>
    </cfRule>
  </conditionalFormatting>
  <conditionalFormatting sqref="I237">
    <cfRule type="cellIs" dxfId="262" priority="235" operator="equal">
      <formula>"no"</formula>
    </cfRule>
    <cfRule type="cellIs" dxfId="261" priority="236" operator="equal">
      <formula>"N/A"</formula>
    </cfRule>
    <cfRule type="cellIs" dxfId="260" priority="237" operator="equal">
      <formula>"Maybe"</formula>
    </cfRule>
    <cfRule type="cellIs" dxfId="259" priority="238" operator="equal">
      <formula>"Yes"</formula>
    </cfRule>
    <cfRule type="cellIs" dxfId="258" priority="239" operator="equal">
      <formula>"Pending PV"</formula>
    </cfRule>
    <cfRule type="cellIs" dxfId="257" priority="240" operator="equal">
      <formula>"N/A"</formula>
    </cfRule>
    <cfRule type="cellIs" dxfId="256" priority="242" operator="equal">
      <formula>"Yes"</formula>
    </cfRule>
    <cfRule type="cellIs" dxfId="255" priority="243" operator="equal">
      <formula>"Pending PV"</formula>
    </cfRule>
  </conditionalFormatting>
  <conditionalFormatting sqref="I239">
    <cfRule type="cellIs" dxfId="254" priority="232" operator="equal">
      <formula>"Maybe"</formula>
    </cfRule>
  </conditionalFormatting>
  <conditionalFormatting sqref="I239">
    <cfRule type="cellIs" dxfId="253" priority="226" operator="equal">
      <formula>"no"</formula>
    </cfRule>
    <cfRule type="cellIs" dxfId="252" priority="227" operator="equal">
      <formula>"N/A"</formula>
    </cfRule>
    <cfRule type="cellIs" dxfId="251" priority="228" operator="equal">
      <formula>"Maybe"</formula>
    </cfRule>
    <cfRule type="cellIs" dxfId="250" priority="229" operator="equal">
      <formula>"Yes"</formula>
    </cfRule>
    <cfRule type="cellIs" dxfId="249" priority="230" operator="equal">
      <formula>"Pending PV"</formula>
    </cfRule>
    <cfRule type="cellIs" dxfId="248" priority="231" operator="equal">
      <formula>"N/A"</formula>
    </cfRule>
    <cfRule type="cellIs" dxfId="247" priority="233" operator="equal">
      <formula>"Yes"</formula>
    </cfRule>
    <cfRule type="cellIs" dxfId="246" priority="234" operator="equal">
      <formula>"Pending PV"</formula>
    </cfRule>
  </conditionalFormatting>
  <conditionalFormatting sqref="I241">
    <cfRule type="cellIs" dxfId="245" priority="223" operator="equal">
      <formula>"Maybe"</formula>
    </cfRule>
  </conditionalFormatting>
  <conditionalFormatting sqref="I241">
    <cfRule type="cellIs" dxfId="244" priority="217" operator="equal">
      <formula>"no"</formula>
    </cfRule>
    <cfRule type="cellIs" dxfId="243" priority="218" operator="equal">
      <formula>"N/A"</formula>
    </cfRule>
    <cfRule type="cellIs" dxfId="242" priority="219" operator="equal">
      <formula>"Maybe"</formula>
    </cfRule>
    <cfRule type="cellIs" dxfId="241" priority="220" operator="equal">
      <formula>"Yes"</formula>
    </cfRule>
    <cfRule type="cellIs" dxfId="240" priority="221" operator="equal">
      <formula>"Pending PV"</formula>
    </cfRule>
    <cfRule type="cellIs" dxfId="239" priority="222" operator="equal">
      <formula>"N/A"</formula>
    </cfRule>
    <cfRule type="cellIs" dxfId="238" priority="224" operator="equal">
      <formula>"Yes"</formula>
    </cfRule>
    <cfRule type="cellIs" dxfId="237" priority="225" operator="equal">
      <formula>"Pending PV"</formula>
    </cfRule>
  </conditionalFormatting>
  <conditionalFormatting sqref="I243">
    <cfRule type="cellIs" dxfId="236" priority="214" operator="equal">
      <formula>"Maybe"</formula>
    </cfRule>
  </conditionalFormatting>
  <conditionalFormatting sqref="I243">
    <cfRule type="cellIs" dxfId="235" priority="208" operator="equal">
      <formula>"no"</formula>
    </cfRule>
    <cfRule type="cellIs" dxfId="234" priority="209" operator="equal">
      <formula>"N/A"</formula>
    </cfRule>
    <cfRule type="cellIs" dxfId="233" priority="210" operator="equal">
      <formula>"Maybe"</formula>
    </cfRule>
    <cfRule type="cellIs" dxfId="232" priority="211" operator="equal">
      <formula>"Yes"</formula>
    </cfRule>
    <cfRule type="cellIs" dxfId="231" priority="212" operator="equal">
      <formula>"Pending PV"</formula>
    </cfRule>
    <cfRule type="cellIs" dxfId="230" priority="213" operator="equal">
      <formula>"N/A"</formula>
    </cfRule>
    <cfRule type="cellIs" dxfId="229" priority="215" operator="equal">
      <formula>"Yes"</formula>
    </cfRule>
    <cfRule type="cellIs" dxfId="228" priority="216" operator="equal">
      <formula>"Pending PV"</formula>
    </cfRule>
  </conditionalFormatting>
  <conditionalFormatting sqref="I244">
    <cfRule type="cellIs" dxfId="227" priority="205" operator="equal">
      <formula>"Maybe"</formula>
    </cfRule>
  </conditionalFormatting>
  <conditionalFormatting sqref="I244">
    <cfRule type="cellIs" dxfId="226" priority="199" operator="equal">
      <formula>"no"</formula>
    </cfRule>
    <cfRule type="cellIs" dxfId="225" priority="200" operator="equal">
      <formula>"N/A"</formula>
    </cfRule>
    <cfRule type="cellIs" dxfId="224" priority="201" operator="equal">
      <formula>"Maybe"</formula>
    </cfRule>
    <cfRule type="cellIs" dxfId="223" priority="202" operator="equal">
      <formula>"Yes"</formula>
    </cfRule>
    <cfRule type="cellIs" dxfId="222" priority="203" operator="equal">
      <formula>"Pending PV"</formula>
    </cfRule>
    <cfRule type="cellIs" dxfId="221" priority="204" operator="equal">
      <formula>"N/A"</formula>
    </cfRule>
    <cfRule type="cellIs" dxfId="220" priority="206" operator="equal">
      <formula>"Yes"</formula>
    </cfRule>
    <cfRule type="cellIs" dxfId="219" priority="207" operator="equal">
      <formula>"Pending PV"</formula>
    </cfRule>
  </conditionalFormatting>
  <conditionalFormatting sqref="I198">
    <cfRule type="cellIs" dxfId="218" priority="196" operator="equal">
      <formula>"Maybe"</formula>
    </cfRule>
  </conditionalFormatting>
  <conditionalFormatting sqref="I198">
    <cfRule type="cellIs" dxfId="217" priority="190" operator="equal">
      <formula>"no"</formula>
    </cfRule>
    <cfRule type="cellIs" dxfId="216" priority="191" operator="equal">
      <formula>"N/A"</formula>
    </cfRule>
    <cfRule type="cellIs" dxfId="215" priority="192" operator="equal">
      <formula>"Maybe"</formula>
    </cfRule>
    <cfRule type="cellIs" dxfId="214" priority="193" operator="equal">
      <formula>"Yes"</formula>
    </cfRule>
    <cfRule type="cellIs" dxfId="213" priority="194" operator="equal">
      <formula>"Pending PV"</formula>
    </cfRule>
    <cfRule type="cellIs" dxfId="212" priority="195" operator="equal">
      <formula>"N/A"</formula>
    </cfRule>
    <cfRule type="cellIs" dxfId="211" priority="197" operator="equal">
      <formula>"Yes"</formula>
    </cfRule>
    <cfRule type="cellIs" dxfId="210" priority="198" operator="equal">
      <formula>"Pending PV"</formula>
    </cfRule>
  </conditionalFormatting>
  <conditionalFormatting sqref="I199">
    <cfRule type="cellIs" dxfId="209" priority="187" operator="equal">
      <formula>"Maybe"</formula>
    </cfRule>
  </conditionalFormatting>
  <conditionalFormatting sqref="I199">
    <cfRule type="cellIs" dxfId="208" priority="181" operator="equal">
      <formula>"no"</formula>
    </cfRule>
    <cfRule type="cellIs" dxfId="207" priority="182" operator="equal">
      <formula>"N/A"</formula>
    </cfRule>
    <cfRule type="cellIs" dxfId="206" priority="183" operator="equal">
      <formula>"Maybe"</formula>
    </cfRule>
    <cfRule type="cellIs" dxfId="205" priority="184" operator="equal">
      <formula>"Yes"</formula>
    </cfRule>
    <cfRule type="cellIs" dxfId="204" priority="185" operator="equal">
      <formula>"Pending PV"</formula>
    </cfRule>
    <cfRule type="cellIs" dxfId="203" priority="186" operator="equal">
      <formula>"N/A"</formula>
    </cfRule>
    <cfRule type="cellIs" dxfId="202" priority="188" operator="equal">
      <formula>"Yes"</formula>
    </cfRule>
    <cfRule type="cellIs" dxfId="201" priority="189" operator="equal">
      <formula>"Pending PV"</formula>
    </cfRule>
  </conditionalFormatting>
  <conditionalFormatting sqref="I175">
    <cfRule type="cellIs" dxfId="200" priority="178" operator="equal">
      <formula>"Maybe"</formula>
    </cfRule>
  </conditionalFormatting>
  <conditionalFormatting sqref="I175">
    <cfRule type="cellIs" dxfId="199" priority="172" operator="equal">
      <formula>"no"</formula>
    </cfRule>
    <cfRule type="cellIs" dxfId="198" priority="173" operator="equal">
      <formula>"N/A"</formula>
    </cfRule>
    <cfRule type="cellIs" dxfId="197" priority="174" operator="equal">
      <formula>"Maybe"</formula>
    </cfRule>
    <cfRule type="cellIs" dxfId="196" priority="175" operator="equal">
      <formula>"Yes"</formula>
    </cfRule>
    <cfRule type="cellIs" dxfId="195" priority="176" operator="equal">
      <formula>"Pending PV"</formula>
    </cfRule>
    <cfRule type="cellIs" dxfId="194" priority="177" operator="equal">
      <formula>"N/A"</formula>
    </cfRule>
    <cfRule type="cellIs" dxfId="193" priority="179" operator="equal">
      <formula>"Yes"</formula>
    </cfRule>
    <cfRule type="cellIs" dxfId="192" priority="180" operator="equal">
      <formula>"Pending PV"</formula>
    </cfRule>
  </conditionalFormatting>
  <conditionalFormatting sqref="I151">
    <cfRule type="cellIs" dxfId="191" priority="169" operator="equal">
      <formula>"Maybe"</formula>
    </cfRule>
  </conditionalFormatting>
  <conditionalFormatting sqref="I151">
    <cfRule type="cellIs" dxfId="190" priority="163" operator="equal">
      <formula>"no"</formula>
    </cfRule>
    <cfRule type="cellIs" dxfId="189" priority="164" operator="equal">
      <formula>"N/A"</formula>
    </cfRule>
    <cfRule type="cellIs" dxfId="188" priority="165" operator="equal">
      <formula>"Maybe"</formula>
    </cfRule>
    <cfRule type="cellIs" dxfId="187" priority="166" operator="equal">
      <formula>"Yes"</formula>
    </cfRule>
    <cfRule type="cellIs" dxfId="186" priority="167" operator="equal">
      <formula>"Pending PV"</formula>
    </cfRule>
    <cfRule type="cellIs" dxfId="185" priority="168" operator="equal">
      <formula>"N/A"</formula>
    </cfRule>
    <cfRule type="cellIs" dxfId="184" priority="170" operator="equal">
      <formula>"Yes"</formula>
    </cfRule>
    <cfRule type="cellIs" dxfId="183" priority="171" operator="equal">
      <formula>"Pending PV"</formula>
    </cfRule>
  </conditionalFormatting>
  <conditionalFormatting sqref="I152">
    <cfRule type="cellIs" dxfId="182" priority="160" operator="equal">
      <formula>"Maybe"</formula>
    </cfRule>
  </conditionalFormatting>
  <conditionalFormatting sqref="I152">
    <cfRule type="cellIs" dxfId="181" priority="154" operator="equal">
      <formula>"no"</formula>
    </cfRule>
    <cfRule type="cellIs" dxfId="180" priority="155" operator="equal">
      <formula>"N/A"</formula>
    </cfRule>
    <cfRule type="cellIs" dxfId="179" priority="156" operator="equal">
      <formula>"Maybe"</formula>
    </cfRule>
    <cfRule type="cellIs" dxfId="178" priority="157" operator="equal">
      <formula>"Yes"</formula>
    </cfRule>
    <cfRule type="cellIs" dxfId="177" priority="158" operator="equal">
      <formula>"Pending PV"</formula>
    </cfRule>
    <cfRule type="cellIs" dxfId="176" priority="159" operator="equal">
      <formula>"N/A"</formula>
    </cfRule>
    <cfRule type="cellIs" dxfId="175" priority="161" operator="equal">
      <formula>"Yes"</formula>
    </cfRule>
    <cfRule type="cellIs" dxfId="174" priority="162" operator="equal">
      <formula>"Pending PV"</formula>
    </cfRule>
  </conditionalFormatting>
  <conditionalFormatting sqref="I153">
    <cfRule type="cellIs" dxfId="173" priority="151" operator="equal">
      <formula>"Maybe"</formula>
    </cfRule>
  </conditionalFormatting>
  <conditionalFormatting sqref="I153">
    <cfRule type="cellIs" dxfId="172" priority="145" operator="equal">
      <formula>"no"</formula>
    </cfRule>
    <cfRule type="cellIs" dxfId="171" priority="146" operator="equal">
      <formula>"N/A"</formula>
    </cfRule>
    <cfRule type="cellIs" dxfId="170" priority="147" operator="equal">
      <formula>"Maybe"</formula>
    </cfRule>
    <cfRule type="cellIs" dxfId="169" priority="148" operator="equal">
      <formula>"Yes"</formula>
    </cfRule>
    <cfRule type="cellIs" dxfId="168" priority="149" operator="equal">
      <formula>"Pending PV"</formula>
    </cfRule>
    <cfRule type="cellIs" dxfId="167" priority="150" operator="equal">
      <formula>"N/A"</formula>
    </cfRule>
    <cfRule type="cellIs" dxfId="166" priority="152" operator="equal">
      <formula>"Yes"</formula>
    </cfRule>
    <cfRule type="cellIs" dxfId="165" priority="153" operator="equal">
      <formula>"Pending PV"</formula>
    </cfRule>
  </conditionalFormatting>
  <conditionalFormatting sqref="I155">
    <cfRule type="cellIs" dxfId="164" priority="142" operator="equal">
      <formula>"Maybe"</formula>
    </cfRule>
  </conditionalFormatting>
  <conditionalFormatting sqref="I155">
    <cfRule type="cellIs" dxfId="163" priority="136" operator="equal">
      <formula>"no"</formula>
    </cfRule>
    <cfRule type="cellIs" dxfId="162" priority="137" operator="equal">
      <formula>"N/A"</formula>
    </cfRule>
    <cfRule type="cellIs" dxfId="161" priority="138" operator="equal">
      <formula>"Maybe"</formula>
    </cfRule>
    <cfRule type="cellIs" dxfId="160" priority="139" operator="equal">
      <formula>"Yes"</formula>
    </cfRule>
    <cfRule type="cellIs" dxfId="159" priority="140" operator="equal">
      <formula>"Pending PV"</formula>
    </cfRule>
    <cfRule type="cellIs" dxfId="158" priority="141" operator="equal">
      <formula>"N/A"</formula>
    </cfRule>
    <cfRule type="cellIs" dxfId="157" priority="143" operator="equal">
      <formula>"Yes"</formula>
    </cfRule>
    <cfRule type="cellIs" dxfId="156" priority="144" operator="equal">
      <formula>"Pending PV"</formula>
    </cfRule>
  </conditionalFormatting>
  <conditionalFormatting sqref="I125">
    <cfRule type="cellIs" dxfId="155" priority="133" operator="equal">
      <formula>"Maybe"</formula>
    </cfRule>
  </conditionalFormatting>
  <conditionalFormatting sqref="I125">
    <cfRule type="cellIs" dxfId="154" priority="127" operator="equal">
      <formula>"no"</formula>
    </cfRule>
    <cfRule type="cellIs" dxfId="153" priority="128" operator="equal">
      <formula>"N/A"</formula>
    </cfRule>
    <cfRule type="cellIs" dxfId="152" priority="129" operator="equal">
      <formula>"Maybe"</formula>
    </cfRule>
    <cfRule type="cellIs" dxfId="151" priority="130" operator="equal">
      <formula>"Yes"</formula>
    </cfRule>
    <cfRule type="cellIs" dxfId="150" priority="131" operator="equal">
      <formula>"Pending PV"</formula>
    </cfRule>
    <cfRule type="cellIs" dxfId="149" priority="132" operator="equal">
      <formula>"N/A"</formula>
    </cfRule>
    <cfRule type="cellIs" dxfId="148" priority="134" operator="equal">
      <formula>"Yes"</formula>
    </cfRule>
    <cfRule type="cellIs" dxfId="147" priority="135" operator="equal">
      <formula>"Pending PV"</formula>
    </cfRule>
  </conditionalFormatting>
  <conditionalFormatting sqref="I123">
    <cfRule type="cellIs" dxfId="146" priority="124" operator="equal">
      <formula>"Maybe"</formula>
    </cfRule>
  </conditionalFormatting>
  <conditionalFormatting sqref="I123">
    <cfRule type="cellIs" dxfId="145" priority="118" operator="equal">
      <formula>"no"</formula>
    </cfRule>
    <cfRule type="cellIs" dxfId="144" priority="119" operator="equal">
      <formula>"N/A"</formula>
    </cfRule>
    <cfRule type="cellIs" dxfId="143" priority="120" operator="equal">
      <formula>"Maybe"</formula>
    </cfRule>
    <cfRule type="cellIs" dxfId="142" priority="121" operator="equal">
      <formula>"Yes"</formula>
    </cfRule>
    <cfRule type="cellIs" dxfId="141" priority="122" operator="equal">
      <formula>"Pending PV"</formula>
    </cfRule>
    <cfRule type="cellIs" dxfId="140" priority="123" operator="equal">
      <formula>"N/A"</formula>
    </cfRule>
    <cfRule type="cellIs" dxfId="139" priority="125" operator="equal">
      <formula>"Yes"</formula>
    </cfRule>
    <cfRule type="cellIs" dxfId="138" priority="126" operator="equal">
      <formula>"Pending PV"</formula>
    </cfRule>
  </conditionalFormatting>
  <conditionalFormatting sqref="I122">
    <cfRule type="cellIs" dxfId="137" priority="115" operator="equal">
      <formula>"Maybe"</formula>
    </cfRule>
  </conditionalFormatting>
  <conditionalFormatting sqref="I122">
    <cfRule type="cellIs" dxfId="136" priority="109" operator="equal">
      <formula>"no"</formula>
    </cfRule>
    <cfRule type="cellIs" dxfId="135" priority="110" operator="equal">
      <formula>"N/A"</formula>
    </cfRule>
    <cfRule type="cellIs" dxfId="134" priority="111" operator="equal">
      <formula>"Maybe"</formula>
    </cfRule>
    <cfRule type="cellIs" dxfId="133" priority="112" operator="equal">
      <formula>"Yes"</formula>
    </cfRule>
    <cfRule type="cellIs" dxfId="132" priority="113" operator="equal">
      <formula>"Pending PV"</formula>
    </cfRule>
    <cfRule type="cellIs" dxfId="131" priority="114" operator="equal">
      <formula>"N/A"</formula>
    </cfRule>
    <cfRule type="cellIs" dxfId="130" priority="116" operator="equal">
      <formula>"Yes"</formula>
    </cfRule>
    <cfRule type="cellIs" dxfId="129" priority="117" operator="equal">
      <formula>"Pending PV"</formula>
    </cfRule>
  </conditionalFormatting>
  <conditionalFormatting sqref="I114">
    <cfRule type="cellIs" dxfId="128" priority="106" operator="equal">
      <formula>"Maybe"</formula>
    </cfRule>
  </conditionalFormatting>
  <conditionalFormatting sqref="I114">
    <cfRule type="cellIs" dxfId="127" priority="100" operator="equal">
      <formula>"no"</formula>
    </cfRule>
    <cfRule type="cellIs" dxfId="126" priority="101" operator="equal">
      <formula>"N/A"</formula>
    </cfRule>
    <cfRule type="cellIs" dxfId="125" priority="102" operator="equal">
      <formula>"Maybe"</formula>
    </cfRule>
    <cfRule type="cellIs" dxfId="124" priority="103" operator="equal">
      <formula>"Yes"</formula>
    </cfRule>
    <cfRule type="cellIs" dxfId="123" priority="104" operator="equal">
      <formula>"Pending PV"</formula>
    </cfRule>
    <cfRule type="cellIs" dxfId="122" priority="105" operator="equal">
      <formula>"N/A"</formula>
    </cfRule>
    <cfRule type="cellIs" dxfId="121" priority="107" operator="equal">
      <formula>"Yes"</formula>
    </cfRule>
    <cfRule type="cellIs" dxfId="120" priority="108" operator="equal">
      <formula>"Pending PV"</formula>
    </cfRule>
  </conditionalFormatting>
  <conditionalFormatting sqref="I115">
    <cfRule type="cellIs" dxfId="119" priority="97" operator="equal">
      <formula>"Maybe"</formula>
    </cfRule>
  </conditionalFormatting>
  <conditionalFormatting sqref="I115">
    <cfRule type="cellIs" dxfId="118" priority="91" operator="equal">
      <formula>"no"</formula>
    </cfRule>
    <cfRule type="cellIs" dxfId="117" priority="92" operator="equal">
      <formula>"N/A"</formula>
    </cfRule>
    <cfRule type="cellIs" dxfId="116" priority="93" operator="equal">
      <formula>"Maybe"</formula>
    </cfRule>
    <cfRule type="cellIs" dxfId="115" priority="94" operator="equal">
      <formula>"Yes"</formula>
    </cfRule>
    <cfRule type="cellIs" dxfId="114" priority="95" operator="equal">
      <formula>"Pending PV"</formula>
    </cfRule>
    <cfRule type="cellIs" dxfId="113" priority="96" operator="equal">
      <formula>"N/A"</formula>
    </cfRule>
    <cfRule type="cellIs" dxfId="112" priority="98" operator="equal">
      <formula>"Yes"</formula>
    </cfRule>
    <cfRule type="cellIs" dxfId="111" priority="99" operator="equal">
      <formula>"Pending PV"</formula>
    </cfRule>
  </conditionalFormatting>
  <conditionalFormatting sqref="I109">
    <cfRule type="cellIs" dxfId="110" priority="88" operator="equal">
      <formula>"Maybe"</formula>
    </cfRule>
  </conditionalFormatting>
  <conditionalFormatting sqref="I109">
    <cfRule type="cellIs" dxfId="109" priority="82" operator="equal">
      <formula>"no"</formula>
    </cfRule>
    <cfRule type="cellIs" dxfId="108" priority="83" operator="equal">
      <formula>"N/A"</formula>
    </cfRule>
    <cfRule type="cellIs" dxfId="107" priority="84" operator="equal">
      <formula>"Maybe"</formula>
    </cfRule>
    <cfRule type="cellIs" dxfId="106" priority="85" operator="equal">
      <formula>"Yes"</formula>
    </cfRule>
    <cfRule type="cellIs" dxfId="105" priority="86" operator="equal">
      <formula>"Pending PV"</formula>
    </cfRule>
    <cfRule type="cellIs" dxfId="104" priority="87" operator="equal">
      <formula>"N/A"</formula>
    </cfRule>
    <cfRule type="cellIs" dxfId="103" priority="89" operator="equal">
      <formula>"Yes"</formula>
    </cfRule>
    <cfRule type="cellIs" dxfId="102" priority="90" operator="equal">
      <formula>"Pending PV"</formula>
    </cfRule>
  </conditionalFormatting>
  <conditionalFormatting sqref="I111">
    <cfRule type="cellIs" dxfId="101" priority="79" operator="equal">
      <formula>"Maybe"</formula>
    </cfRule>
  </conditionalFormatting>
  <conditionalFormatting sqref="I111">
    <cfRule type="cellIs" dxfId="100" priority="73" operator="equal">
      <formula>"no"</formula>
    </cfRule>
    <cfRule type="cellIs" dxfId="99" priority="74" operator="equal">
      <formula>"N/A"</formula>
    </cfRule>
    <cfRule type="cellIs" dxfId="98" priority="75" operator="equal">
      <formula>"Maybe"</formula>
    </cfRule>
    <cfRule type="cellIs" dxfId="97" priority="76" operator="equal">
      <formula>"Yes"</formula>
    </cfRule>
    <cfRule type="cellIs" dxfId="96" priority="77" operator="equal">
      <formula>"Pending PV"</formula>
    </cfRule>
    <cfRule type="cellIs" dxfId="95" priority="78" operator="equal">
      <formula>"N/A"</formula>
    </cfRule>
    <cfRule type="cellIs" dxfId="94" priority="80" operator="equal">
      <formula>"Yes"</formula>
    </cfRule>
    <cfRule type="cellIs" dxfId="93" priority="81" operator="equal">
      <formula>"Pending PV"</formula>
    </cfRule>
  </conditionalFormatting>
  <conditionalFormatting sqref="I112">
    <cfRule type="cellIs" dxfId="92" priority="70" operator="equal">
      <formula>"Maybe"</formula>
    </cfRule>
  </conditionalFormatting>
  <conditionalFormatting sqref="I112">
    <cfRule type="cellIs" dxfId="91" priority="64" operator="equal">
      <formula>"no"</formula>
    </cfRule>
    <cfRule type="cellIs" dxfId="90" priority="65" operator="equal">
      <formula>"N/A"</formula>
    </cfRule>
    <cfRule type="cellIs" dxfId="89" priority="66" operator="equal">
      <formula>"Maybe"</formula>
    </cfRule>
    <cfRule type="cellIs" dxfId="88" priority="67" operator="equal">
      <formula>"Yes"</formula>
    </cfRule>
    <cfRule type="cellIs" dxfId="87" priority="68" operator="equal">
      <formula>"Pending PV"</formula>
    </cfRule>
    <cfRule type="cellIs" dxfId="86" priority="69" operator="equal">
      <formula>"N/A"</formula>
    </cfRule>
    <cfRule type="cellIs" dxfId="85" priority="71" operator="equal">
      <formula>"Yes"</formula>
    </cfRule>
    <cfRule type="cellIs" dxfId="84" priority="72" operator="equal">
      <formula>"Pending PV"</formula>
    </cfRule>
  </conditionalFormatting>
  <conditionalFormatting sqref="I79">
    <cfRule type="cellIs" dxfId="83" priority="61" operator="equal">
      <formula>"Maybe"</formula>
    </cfRule>
  </conditionalFormatting>
  <conditionalFormatting sqref="I79">
    <cfRule type="cellIs" dxfId="82" priority="55" operator="equal">
      <formula>"no"</formula>
    </cfRule>
    <cfRule type="cellIs" dxfId="81" priority="56" operator="equal">
      <formula>"N/A"</formula>
    </cfRule>
    <cfRule type="cellIs" dxfId="80" priority="57" operator="equal">
      <formula>"Maybe"</formula>
    </cfRule>
    <cfRule type="cellIs" dxfId="79" priority="58" operator="equal">
      <formula>"Yes"</formula>
    </cfRule>
    <cfRule type="cellIs" dxfId="78" priority="59" operator="equal">
      <formula>"Pending PV"</formula>
    </cfRule>
    <cfRule type="cellIs" dxfId="77" priority="60" operator="equal">
      <formula>"N/A"</formula>
    </cfRule>
    <cfRule type="cellIs" dxfId="76" priority="62" operator="equal">
      <formula>"Yes"</formula>
    </cfRule>
    <cfRule type="cellIs" dxfId="75" priority="63" operator="equal">
      <formula>"Pending PV"</formula>
    </cfRule>
  </conditionalFormatting>
  <conditionalFormatting sqref="I80">
    <cfRule type="cellIs" dxfId="74" priority="52" operator="equal">
      <formula>"Maybe"</formula>
    </cfRule>
  </conditionalFormatting>
  <conditionalFormatting sqref="I80">
    <cfRule type="cellIs" dxfId="73" priority="46" operator="equal">
      <formula>"no"</formula>
    </cfRule>
    <cfRule type="cellIs" dxfId="72" priority="47" operator="equal">
      <formula>"N/A"</formula>
    </cfRule>
    <cfRule type="cellIs" dxfId="71" priority="48" operator="equal">
      <formula>"Maybe"</formula>
    </cfRule>
    <cfRule type="cellIs" dxfId="70" priority="49" operator="equal">
      <formula>"Yes"</formula>
    </cfRule>
    <cfRule type="cellIs" dxfId="69" priority="50" operator="equal">
      <formula>"Pending PV"</formula>
    </cfRule>
    <cfRule type="cellIs" dxfId="68" priority="51" operator="equal">
      <formula>"N/A"</formula>
    </cfRule>
    <cfRule type="cellIs" dxfId="67" priority="53" operator="equal">
      <formula>"Yes"</formula>
    </cfRule>
    <cfRule type="cellIs" dxfId="66" priority="54" operator="equal">
      <formula>"Pending PV"</formula>
    </cfRule>
  </conditionalFormatting>
  <conditionalFormatting sqref="I81">
    <cfRule type="cellIs" dxfId="65" priority="43" operator="equal">
      <formula>"Maybe"</formula>
    </cfRule>
  </conditionalFormatting>
  <conditionalFormatting sqref="I81">
    <cfRule type="cellIs" dxfId="64" priority="37" operator="equal">
      <formula>"no"</formula>
    </cfRule>
    <cfRule type="cellIs" dxfId="63" priority="38" operator="equal">
      <formula>"N/A"</formula>
    </cfRule>
    <cfRule type="cellIs" dxfId="62" priority="39" operator="equal">
      <formula>"Maybe"</formula>
    </cfRule>
    <cfRule type="cellIs" dxfId="61" priority="40" operator="equal">
      <formula>"Yes"</formula>
    </cfRule>
    <cfRule type="cellIs" dxfId="60" priority="41" operator="equal">
      <formula>"Pending PV"</formula>
    </cfRule>
    <cfRule type="cellIs" dxfId="59" priority="42" operator="equal">
      <formula>"N/A"</formula>
    </cfRule>
    <cfRule type="cellIs" dxfId="58" priority="44" operator="equal">
      <formula>"Yes"</formula>
    </cfRule>
    <cfRule type="cellIs" dxfId="57" priority="45" operator="equal">
      <formula>"Pending PV"</formula>
    </cfRule>
  </conditionalFormatting>
  <conditionalFormatting sqref="I75">
    <cfRule type="cellIs" dxfId="56" priority="34" operator="equal">
      <formula>"Maybe"</formula>
    </cfRule>
  </conditionalFormatting>
  <conditionalFormatting sqref="I75">
    <cfRule type="cellIs" dxfId="55" priority="28" operator="equal">
      <formula>"no"</formula>
    </cfRule>
    <cfRule type="cellIs" dxfId="54" priority="29" operator="equal">
      <formula>"N/A"</formula>
    </cfRule>
    <cfRule type="cellIs" dxfId="53" priority="30" operator="equal">
      <formula>"Maybe"</formula>
    </cfRule>
    <cfRule type="cellIs" dxfId="52" priority="31" operator="equal">
      <formula>"Yes"</formula>
    </cfRule>
    <cfRule type="cellIs" dxfId="51" priority="32" operator="equal">
      <formula>"Pending PV"</formula>
    </cfRule>
    <cfRule type="cellIs" dxfId="50" priority="33" operator="equal">
      <formula>"N/A"</formula>
    </cfRule>
    <cfRule type="cellIs" dxfId="49" priority="35" operator="equal">
      <formula>"Yes"</formula>
    </cfRule>
    <cfRule type="cellIs" dxfId="48" priority="36" operator="equal">
      <formula>"Pending PV"</formula>
    </cfRule>
  </conditionalFormatting>
  <conditionalFormatting sqref="I74">
    <cfRule type="cellIs" dxfId="47" priority="25" operator="equal">
      <formula>"Maybe"</formula>
    </cfRule>
  </conditionalFormatting>
  <conditionalFormatting sqref="I74">
    <cfRule type="cellIs" dxfId="46" priority="19" operator="equal">
      <formula>"no"</formula>
    </cfRule>
    <cfRule type="cellIs" dxfId="45" priority="20" operator="equal">
      <formula>"N/A"</formula>
    </cfRule>
    <cfRule type="cellIs" dxfId="44" priority="21" operator="equal">
      <formula>"Maybe"</formula>
    </cfRule>
    <cfRule type="cellIs" dxfId="43" priority="22" operator="equal">
      <formula>"Yes"</formula>
    </cfRule>
    <cfRule type="cellIs" dxfId="42" priority="23" operator="equal">
      <formula>"Pending PV"</formula>
    </cfRule>
    <cfRule type="cellIs" dxfId="41" priority="24" operator="equal">
      <formula>"N/A"</formula>
    </cfRule>
    <cfRule type="cellIs" dxfId="40" priority="26" operator="equal">
      <formula>"Yes"</formula>
    </cfRule>
    <cfRule type="cellIs" dxfId="39" priority="27" operator="equal">
      <formula>"Pending PV"</formula>
    </cfRule>
  </conditionalFormatting>
  <conditionalFormatting sqref="I73">
    <cfRule type="cellIs" dxfId="38" priority="16" operator="equal">
      <formula>"Maybe"</formula>
    </cfRule>
  </conditionalFormatting>
  <conditionalFormatting sqref="I73">
    <cfRule type="cellIs" dxfId="37" priority="10" operator="equal">
      <formula>"no"</formula>
    </cfRule>
    <cfRule type="cellIs" dxfId="36" priority="11" operator="equal">
      <formula>"N/A"</formula>
    </cfRule>
    <cfRule type="cellIs" dxfId="35" priority="12" operator="equal">
      <formula>"Maybe"</formula>
    </cfRule>
    <cfRule type="cellIs" dxfId="34" priority="13" operator="equal">
      <formula>"Yes"</formula>
    </cfRule>
    <cfRule type="cellIs" dxfId="33" priority="14" operator="equal">
      <formula>"Pending PV"</formula>
    </cfRule>
    <cfRule type="cellIs" dxfId="32" priority="15" operator="equal">
      <formula>"N/A"</formula>
    </cfRule>
    <cfRule type="cellIs" dxfId="31" priority="17" operator="equal">
      <formula>"Yes"</formula>
    </cfRule>
    <cfRule type="cellIs" dxfId="30" priority="18" operator="equal">
      <formula>"Pending PV"</formula>
    </cfRule>
  </conditionalFormatting>
  <conditionalFormatting sqref="I72">
    <cfRule type="cellIs" dxfId="29" priority="7" operator="equal">
      <formula>"Maybe"</formula>
    </cfRule>
  </conditionalFormatting>
  <conditionalFormatting sqref="I72">
    <cfRule type="cellIs" dxfId="28" priority="1" operator="equal">
      <formula>"no"</formula>
    </cfRule>
    <cfRule type="cellIs" dxfId="27" priority="2" operator="equal">
      <formula>"N/A"</formula>
    </cfRule>
    <cfRule type="cellIs" dxfId="26" priority="3" operator="equal">
      <formula>"Maybe"</formula>
    </cfRule>
    <cfRule type="cellIs" dxfId="25" priority="4" operator="equal">
      <formula>"Yes"</formula>
    </cfRule>
    <cfRule type="cellIs" dxfId="24" priority="5" operator="equal">
      <formula>"Pending PV"</formula>
    </cfRule>
    <cfRule type="cellIs" dxfId="23" priority="6" operator="equal">
      <formula>"N/A"</formula>
    </cfRule>
    <cfRule type="cellIs" dxfId="22" priority="8" operator="equal">
      <formula>"Yes"</formula>
    </cfRule>
    <cfRule type="cellIs" dxfId="21" priority="9" operator="equal">
      <formula>"Pending PV"</formula>
    </cfRule>
  </conditionalFormatting>
  <dataValidations count="11">
    <dataValidation type="list" allowBlank="1" showInputMessage="1" showErrorMessage="1" sqref="L5" xr:uid="{00000000-0002-0000-0100-000000000000}">
      <formula1>"Yes,No,Maybe,Pending PV"</formula1>
    </dataValidation>
    <dataValidation type="list" allowBlank="1" showInputMessage="1" showErrorMessage="1" sqref="I33 I35:I36 L8 I50 I52:I53 I55:I56 I58:I59 I366 I79:I81 I83:I87 I89 I91:I92 I94:I95 I97 I99 I101:I102 I104 I106:I107 I109 I111:I112 I114:I115 I117 I119:I120 I122:I123 I125 I127:I128 I130:I131 I133 I135:I136 I138:I140 I142:I143 I145:I149 I151:I153 I155 I157:I159 I161 I163:I164 I166:I169 I171:I173 I175 I177:I179 I181:I183 I185 I187:I188 I190 I192:I193 I195:I196 I198:I199 I201 I203 I205:I207 I209:I210 I212:I213 I215:I216 I218:I219 I221:I223 I225:I226 I228 I230:I231 I233 I235 I237 I239 I241 I243:I244 I246 I248 I250 I252:I255 I257:I259 I261 I263:I264 I266:I267 I269:I271 I273 I275 I277 I279 I281 I283:I284 I286:I287 I289:I291 I293:I294 I296:I298 I300:I301 I303 I305 I307:I308 I310:I312 I314 I316:I318 I320:I322 I324:I325 I327 I329 I331:I333 I335:I336 I338:I339 I341:I343 I345:I346 I348:I349 I351:I352 I354 I356:I357 I359 I72:I75" xr:uid="{00000000-0002-0000-0100-000001000000}">
      <formula1>"Yes,No,Maybe"</formula1>
    </dataValidation>
    <dataValidation type="list" allowBlank="1" showInputMessage="1" showErrorMessage="1" promptTitle="Enter number of proposals here" prompt=" " sqref="J363:J364 J361" xr:uid="{00000000-0002-0000-0100-000002000000}">
      <formula1>"0,1,2,3,4,5,6,7,8,9,10"</formula1>
    </dataValidation>
    <dataValidation type="list" allowBlank="1" showInputMessage="1" showErrorMessage="1" promptTitle="Enter number of proposals here" prompt=" " sqref="M361" xr:uid="{00000000-0002-0000-0100-000003000000}">
      <formula1>"1,2,3,4,5,6,7,8,9,10,enter number of proposals here"</formula1>
    </dataValidation>
    <dataValidation type="list" allowBlank="1" showInputMessage="1" showErrorMessage="1" sqref="I361 I363:I364" xr:uid="{00000000-0002-0000-0100-000004000000}">
      <formula1>pursuing</formula1>
    </dataValidation>
    <dataValidation type="list" allowBlank="1" showInputMessage="1" showErrorMessage="1" sqref="I29 I61:I66 I38:I39 I41:I42 I44:I45 I47:I48 I68:I70 I77 I90" xr:uid="{00000000-0002-0000-0100-000005000000}">
      <formula1>"Yes,No,Pending PV"</formula1>
    </dataValidation>
    <dataValidation type="whole" operator="greaterThanOrEqual" showInputMessage="1" showErrorMessage="1" errorTitle="Whole Numbers" error="Please enter a whole number greater or equal to than zero." sqref="E14" xr:uid="{00000000-0002-0000-0100-000006000000}">
      <formula1>0</formula1>
    </dataValidation>
    <dataValidation type="whole" operator="greaterThanOrEqual" allowBlank="1" showInputMessage="1" showErrorMessage="1" sqref="E19" xr:uid="{00000000-0002-0000-0100-000007000000}">
      <formula1>0</formula1>
    </dataValidation>
    <dataValidation type="whole" operator="greaterThanOrEqual" showInputMessage="1" showErrorMessage="1" sqref="E25" xr:uid="{00000000-0002-0000-0100-000008000000}">
      <formula1>0</formula1>
    </dataValidation>
    <dataValidation type="decimal" operator="greaterThanOrEqual" allowBlank="1" showInputMessage="1" showErrorMessage="1" sqref="E17" xr:uid="{00000000-0002-0000-0100-000009000000}">
      <formula1>E16</formula1>
    </dataValidation>
    <dataValidation type="whole" errorStyle="information" operator="greaterThanOrEqual" allowBlank="1" showInputMessage="1" showErrorMessage="1" errorTitle="Incorrect Entry" error="The number of certified buildings cannot be larger than the total number of buildings." sqref="E15" xr:uid="{00000000-0002-0000-0100-00000A000000}">
      <formula1>E14</formula1>
    </dataValidation>
  </dataValidations>
  <pageMargins left="0.7" right="0.7" top="0.75" bottom="0.75" header="0.3" footer="0.3"/>
  <pageSetup scale="39" fitToHeight="0"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2:AL136"/>
  <sheetViews>
    <sheetView showGridLines="0" zoomScale="80" zoomScaleNormal="80" zoomScalePageLayoutView="80" workbookViewId="0"/>
  </sheetViews>
  <sheetFormatPr baseColWidth="10" defaultColWidth="8.83203125" defaultRowHeight="14"/>
  <cols>
    <col min="1" max="1" width="6" style="15" customWidth="1"/>
    <col min="2" max="4" width="6.6640625" style="15" customWidth="1"/>
    <col min="5" max="5" width="4.1640625" style="15" customWidth="1"/>
    <col min="6" max="6" width="5.6640625" style="49" customWidth="1"/>
    <col min="7" max="7" width="23.33203125" style="15" customWidth="1"/>
    <col min="8" max="8" width="7.83203125" style="15" customWidth="1"/>
    <col min="9" max="9" width="3.5" style="15" customWidth="1"/>
    <col min="10" max="10" width="11.1640625" style="15" customWidth="1"/>
    <col min="11" max="13" width="6.6640625" style="15" customWidth="1"/>
    <col min="14" max="14" width="4.1640625" style="15" customWidth="1"/>
    <col min="15" max="15" width="5.1640625" style="49" customWidth="1"/>
    <col min="16" max="16" width="10" style="15" bestFit="1" customWidth="1"/>
    <col min="17" max="17" width="8.83203125" style="15"/>
    <col min="18" max="18" width="7" style="15" customWidth="1"/>
    <col min="19" max="19" width="13.6640625" style="15" customWidth="1"/>
    <col min="20" max="22" width="6.6640625" style="15" customWidth="1"/>
    <col min="23" max="23" width="4.1640625" style="15" customWidth="1"/>
    <col min="24" max="24" width="5.5" style="49" bestFit="1" customWidth="1"/>
    <col min="25" max="26" width="8.83203125" style="15"/>
    <col min="27" max="27" width="7" style="15" customWidth="1"/>
    <col min="28" max="28" width="4.5" style="15" customWidth="1"/>
    <col min="29" max="33" width="8.83203125" style="15"/>
    <col min="34" max="34" width="5" style="15" customWidth="1"/>
    <col min="35" max="16384" width="8.83203125" style="15"/>
  </cols>
  <sheetData>
    <row r="2" spans="1:37" ht="23">
      <c r="A2" s="8"/>
      <c r="B2" s="9"/>
      <c r="C2" s="9"/>
      <c r="D2" s="9"/>
      <c r="E2" s="10"/>
      <c r="F2" s="9"/>
      <c r="G2" s="11"/>
      <c r="H2" s="11"/>
      <c r="I2" s="11"/>
      <c r="J2" s="12"/>
      <c r="K2" s="12"/>
      <c r="L2" s="12"/>
      <c r="M2" s="18" t="s">
        <v>52</v>
      </c>
      <c r="N2" s="12"/>
      <c r="O2" s="13"/>
      <c r="P2" s="12"/>
      <c r="Q2" s="12"/>
      <c r="R2" s="12"/>
      <c r="S2" s="12"/>
      <c r="T2" s="12"/>
      <c r="U2" s="14"/>
      <c r="V2" s="14"/>
      <c r="W2" s="14"/>
      <c r="X2" s="71"/>
      <c r="Y2" s="14"/>
      <c r="Z2" s="14"/>
      <c r="AA2" s="14"/>
      <c r="AB2" s="14"/>
    </row>
    <row r="3" spans="1:37" ht="23">
      <c r="A3" s="8"/>
      <c r="B3" s="16" t="s">
        <v>762</v>
      </c>
      <c r="C3" s="17"/>
      <c r="D3" s="17"/>
      <c r="E3" s="10"/>
      <c r="F3" s="9"/>
      <c r="G3" s="11"/>
      <c r="H3" s="11"/>
      <c r="I3" s="11"/>
      <c r="J3" s="12"/>
      <c r="K3" s="12"/>
      <c r="L3" s="12"/>
      <c r="M3" s="18"/>
      <c r="N3" s="12"/>
      <c r="O3" s="13"/>
      <c r="P3" s="12"/>
      <c r="Q3" s="14"/>
      <c r="R3" s="12"/>
      <c r="S3" s="12"/>
      <c r="T3" s="12"/>
      <c r="U3" s="14"/>
      <c r="V3" s="14"/>
      <c r="W3" s="14"/>
      <c r="X3" s="71"/>
      <c r="Y3" s="14"/>
      <c r="Z3" s="14"/>
      <c r="AA3" s="14"/>
      <c r="AB3" s="14"/>
    </row>
    <row r="4" spans="1:37">
      <c r="A4" s="8"/>
      <c r="B4" s="219" t="s">
        <v>48</v>
      </c>
      <c r="C4" s="219"/>
      <c r="D4" s="221" t="str">
        <f>IF('Project Checklist'!F4="", "", 'Project Checklist'!F4)</f>
        <v/>
      </c>
      <c r="E4" s="221"/>
      <c r="F4" s="221"/>
      <c r="G4" s="221"/>
      <c r="H4" s="221"/>
      <c r="I4" s="221"/>
      <c r="J4" s="12"/>
      <c r="K4" s="12"/>
      <c r="L4" s="12"/>
      <c r="M4" s="12"/>
      <c r="N4" s="12"/>
      <c r="O4" s="13"/>
      <c r="P4" s="12"/>
      <c r="Q4" s="14"/>
      <c r="R4" s="12"/>
      <c r="S4" s="12"/>
      <c r="T4" s="12"/>
      <c r="U4" s="14"/>
      <c r="V4" s="14"/>
      <c r="W4" s="14"/>
      <c r="X4" s="71"/>
      <c r="Y4" s="14"/>
      <c r="Z4" s="14"/>
      <c r="AA4" s="14"/>
      <c r="AB4" s="14"/>
    </row>
    <row r="5" spans="1:37">
      <c r="A5" s="8"/>
      <c r="B5" s="219" t="s">
        <v>49</v>
      </c>
      <c r="C5" s="219"/>
      <c r="D5" s="221" t="str">
        <f>IF('Project Checklist'!F5="", "", 'Project Checklist'!F5)</f>
        <v/>
      </c>
      <c r="E5" s="221"/>
      <c r="F5" s="221"/>
      <c r="G5" s="221"/>
      <c r="H5" s="221"/>
      <c r="I5" s="221"/>
      <c r="J5" s="12"/>
      <c r="K5" s="12"/>
      <c r="L5" s="12"/>
      <c r="M5" s="12"/>
      <c r="N5" s="12"/>
      <c r="O5" s="13"/>
      <c r="P5" s="12"/>
      <c r="Q5" s="14"/>
      <c r="R5" s="12"/>
      <c r="S5" s="12"/>
      <c r="T5" s="12"/>
      <c r="U5" s="14"/>
      <c r="V5" s="14"/>
      <c r="W5" s="14"/>
      <c r="X5" s="71"/>
      <c r="Y5" s="14"/>
      <c r="Z5" s="14"/>
      <c r="AA5" s="14"/>
      <c r="AB5" s="14"/>
    </row>
    <row r="6" spans="1:37">
      <c r="A6" s="8"/>
      <c r="B6" s="219" t="s">
        <v>51</v>
      </c>
      <c r="C6" s="219"/>
      <c r="D6" s="221" t="str">
        <f>IF('Project Checklist'!F6="", "", 'Project Checklist'!F6)</f>
        <v/>
      </c>
      <c r="E6" s="221"/>
      <c r="F6" s="221"/>
      <c r="G6" s="221"/>
      <c r="H6" s="221"/>
      <c r="I6" s="221"/>
      <c r="J6" s="12"/>
      <c r="K6" s="12"/>
      <c r="L6" s="12"/>
      <c r="M6" s="12"/>
      <c r="N6" s="12"/>
      <c r="O6" s="13"/>
      <c r="P6" s="12"/>
      <c r="Q6" s="14"/>
      <c r="R6" s="12"/>
      <c r="S6" s="12"/>
      <c r="T6" s="12"/>
      <c r="U6" s="14"/>
      <c r="V6" s="14"/>
      <c r="W6" s="14"/>
      <c r="X6" s="71"/>
      <c r="Y6" s="14"/>
      <c r="Z6" s="14"/>
      <c r="AA6" s="14"/>
      <c r="AB6" s="14"/>
    </row>
    <row r="7" spans="1:37">
      <c r="A7" s="8"/>
      <c r="B7" s="219" t="s">
        <v>50</v>
      </c>
      <c r="C7" s="219"/>
      <c r="D7" s="220" t="str">
        <f>IF('Project Checklist'!F7="", "", 'Project Checklist'!F7)</f>
        <v/>
      </c>
      <c r="E7" s="220"/>
      <c r="F7" s="220"/>
      <c r="G7" s="220"/>
      <c r="H7" s="220"/>
      <c r="I7" s="220"/>
      <c r="J7" s="12"/>
      <c r="K7" s="19"/>
      <c r="L7" s="19"/>
      <c r="M7" s="19"/>
      <c r="N7" s="19"/>
      <c r="O7" s="19"/>
      <c r="P7" s="19"/>
      <c r="Q7" s="14"/>
      <c r="R7" s="12"/>
      <c r="S7" s="12"/>
      <c r="T7" s="12"/>
      <c r="U7" s="14"/>
      <c r="V7" s="14"/>
      <c r="W7" s="14"/>
      <c r="X7" s="71"/>
      <c r="Y7" s="14"/>
      <c r="Z7" s="14"/>
      <c r="AA7" s="14"/>
      <c r="AB7" s="14"/>
    </row>
    <row r="8" spans="1:37">
      <c r="A8" s="8"/>
      <c r="B8" s="19"/>
      <c r="C8" s="19"/>
      <c r="D8" s="19"/>
      <c r="E8" s="19"/>
      <c r="F8" s="19"/>
      <c r="G8" s="19"/>
      <c r="H8" s="19"/>
      <c r="I8" s="19"/>
      <c r="J8" s="12"/>
      <c r="K8" s="12"/>
      <c r="L8" s="12"/>
      <c r="M8" s="12"/>
      <c r="N8" s="12"/>
      <c r="O8" s="12"/>
      <c r="P8" s="12"/>
      <c r="Q8" s="12"/>
      <c r="R8" s="12"/>
      <c r="S8" s="12"/>
      <c r="T8" s="12"/>
      <c r="U8" s="14"/>
      <c r="V8" s="14"/>
      <c r="W8" s="14"/>
      <c r="X8" s="71"/>
      <c r="Y8" s="14"/>
      <c r="Z8" s="14"/>
      <c r="AA8" s="14"/>
      <c r="AB8" s="14"/>
    </row>
    <row r="9" spans="1:37" ht="14.25" customHeight="1">
      <c r="A9" s="8"/>
      <c r="B9" s="243" t="s">
        <v>0</v>
      </c>
      <c r="C9" s="244"/>
      <c r="D9" s="244"/>
      <c r="E9" s="244"/>
      <c r="F9" s="244"/>
      <c r="G9" s="244"/>
      <c r="H9" s="244"/>
      <c r="I9" s="245"/>
      <c r="J9" s="12"/>
      <c r="K9" s="255" t="s">
        <v>3</v>
      </c>
      <c r="L9" s="256"/>
      <c r="M9" s="256"/>
      <c r="N9" s="256"/>
      <c r="O9" s="256"/>
      <c r="P9" s="256"/>
      <c r="Q9" s="256"/>
      <c r="R9" s="257"/>
      <c r="S9" s="12"/>
      <c r="T9" s="231" t="s">
        <v>702</v>
      </c>
      <c r="U9" s="232"/>
      <c r="V9" s="232"/>
      <c r="W9" s="232"/>
      <c r="X9" s="232"/>
      <c r="Y9" s="232"/>
      <c r="Z9" s="232"/>
      <c r="AA9" s="233"/>
      <c r="AB9" s="14"/>
      <c r="AD9" s="222" t="s">
        <v>704</v>
      </c>
      <c r="AE9" s="223"/>
      <c r="AF9" s="223"/>
      <c r="AG9" s="223"/>
      <c r="AH9" s="223"/>
      <c r="AI9" s="223"/>
      <c r="AJ9" s="223"/>
      <c r="AK9" s="224"/>
    </row>
    <row r="10" spans="1:37" ht="14.25" customHeight="1">
      <c r="A10" s="8"/>
      <c r="B10" s="20" t="s">
        <v>10</v>
      </c>
      <c r="C10" s="20" t="s">
        <v>12</v>
      </c>
      <c r="D10" s="20" t="s">
        <v>13</v>
      </c>
      <c r="E10" s="21"/>
      <c r="F10" s="21"/>
      <c r="G10" s="21"/>
      <c r="H10" s="21"/>
      <c r="I10" s="21"/>
      <c r="J10" s="12"/>
      <c r="K10" s="20" t="s">
        <v>10</v>
      </c>
      <c r="L10" s="20" t="s">
        <v>12</v>
      </c>
      <c r="M10" s="20" t="s">
        <v>13</v>
      </c>
      <c r="N10" s="21"/>
      <c r="O10" s="21"/>
      <c r="P10" s="21"/>
      <c r="Q10" s="21"/>
      <c r="R10" s="21"/>
      <c r="S10" s="12"/>
      <c r="T10" s="20" t="s">
        <v>10</v>
      </c>
      <c r="U10" s="20" t="s">
        <v>12</v>
      </c>
      <c r="V10" s="20" t="s">
        <v>13</v>
      </c>
      <c r="W10" s="21"/>
      <c r="X10" s="21"/>
      <c r="Y10" s="21"/>
      <c r="Z10" s="21"/>
      <c r="AA10" s="21"/>
      <c r="AB10" s="14"/>
      <c r="AD10" s="20" t="s">
        <v>10</v>
      </c>
      <c r="AE10" s="20" t="s">
        <v>12</v>
      </c>
      <c r="AF10" s="20" t="s">
        <v>13</v>
      </c>
      <c r="AG10" s="21"/>
      <c r="AH10" s="21"/>
      <c r="AI10" s="21"/>
      <c r="AJ10" s="21"/>
      <c r="AK10" s="21"/>
    </row>
    <row r="11" spans="1:37" ht="14.25" customHeight="1">
      <c r="A11" s="8"/>
      <c r="B11" s="23" t="str">
        <f>IF('Project Checklist'!I28="--&gt;yes","Y","")</f>
        <v/>
      </c>
      <c r="C11" s="24" t="str">
        <f>IF('Project Checklist'!I28="--&gt;Pending PV","?","")</f>
        <v/>
      </c>
      <c r="D11" s="25" t="str">
        <f>IF('Project Checklist'!I28="--&gt;no","N","")</f>
        <v/>
      </c>
      <c r="E11" s="26" t="str">
        <f t="shared" ref="E11:E21" si="0">VLOOKUP(F11,TblCredit,IF(ctrlTypo="Community",4,IF(ctrlTypo="NEI",5,6)),FALSE)</f>
        <v>P</v>
      </c>
      <c r="F11" s="27" t="str">
        <f>Admin!A4</f>
        <v>AQU</v>
      </c>
      <c r="G11" s="50" t="str">
        <f>Admin!B4</f>
        <v>Fundamental Air Quality</v>
      </c>
      <c r="I11" s="29"/>
      <c r="J11" s="12"/>
      <c r="K11" s="23" t="str">
        <f ca="1">IF(N11="n/a","",IF(VLOOKUP(CONCATENATE(O11," – ",P11),'Project Checklist'!$F$28:$I$366,4, FALSE)="--&gt; Yes","Y",IF(AND(VLOOKUP(CONCATENATE(O11," – ",P11), 'Project Checklist'!$F$28:$I$366, 4, FALSE)="--&gt; n/a",N11="P"),"n/a","")))</f>
        <v/>
      </c>
      <c r="L11" s="24" t="str">
        <f ca="1">IF(N11="n/a","",IF(VLOOKUP(CONCATENATE(O11," – ",P11), 'Project Checklist'!$F$28:$I$366, 4, FALSE)="--&gt; Maybe","?",""))</f>
        <v/>
      </c>
      <c r="M11" s="25" t="str">
        <f ca="1">IF(N11="n/a","",IF(VLOOKUP(CONCATENATE(O11," – ",P11), 'Project Checklist'!$F$28:$I$366, 4, FALSE)="--&gt; No","N",""))</f>
        <v/>
      </c>
      <c r="N11" s="26" t="str">
        <f t="shared" ref="N11:N19" si="1">VLOOKUP(O11,TblCredit,IF(ctrlTypo="Community",4,IF(ctrlTypo="NEI",5,6)),FALSE)</f>
        <v>P</v>
      </c>
      <c r="O11" s="30" t="str">
        <f>Admin!A36</f>
        <v>LMP</v>
      </c>
      <c r="P11" s="28" t="str">
        <f>Admin!B36</f>
        <v>Lighting Master Plan</v>
      </c>
      <c r="Q11" s="29"/>
      <c r="R11" s="29"/>
      <c r="S11" s="12"/>
      <c r="T11" s="23" t="str">
        <f ca="1">IF(W11="n/a","",IF(VLOOKUP(CONCATENATE(X11," – ",Y11),'Project Checklist'!$F$28:$I$366,4, FALSE)="--&gt; Yes","Y",IF(AND(VLOOKUP(CONCATENATE(X11," – ",Y11), 'Project Checklist'!$F$28:$I$366, 4, FALSE)="--&gt; n/a",W11="P"),"n/a","")))</f>
        <v/>
      </c>
      <c r="U11" s="24" t="str">
        <f ca="1">IF(W11="n/a","",IF(VLOOKUP(CONCATENATE(X11," – ",Y11), 'Project Checklist'!$F$28:$I$366, 4, FALSE)="--&gt; Maybe","?",""))</f>
        <v/>
      </c>
      <c r="V11" s="25" t="str">
        <f ca="1">IF(W11="n/a","",IF(VLOOKUP(CONCATENATE(X11," – ",Y11), 'Project Checklist'!$F$28:$I$366, 4, FALSE)="--&gt; No","N",""))</f>
        <v/>
      </c>
      <c r="W11" s="26" t="str">
        <f t="shared" ref="W11:W16" si="2">VLOOKUP(X11,TblCredit,IF(ctrlTypo="Community",4,IF(ctrlTypo="NEI",5,6)),FALSE)</f>
        <v>p</v>
      </c>
      <c r="X11" s="65" t="str">
        <f>Admin!A69</f>
        <v>SOU</v>
      </c>
      <c r="Y11" s="52" t="str">
        <f>Admin!B69</f>
        <v>Sound Planning</v>
      </c>
      <c r="AD11" s="23" t="str">
        <f ca="1">IF(AG11="n/a","",IF(VLOOKUP(CONCATENATE(AH11," – ",AI11),'Project Checklist'!$F$28:$I$366,4, FALSE)="--&gt; Yes","Y",IF(AND(VLOOKUP(CONCATENATE(AH11," – ",AI11), 'Project Checklist'!$F$28:$I$366, 4, FALSE)="--&gt; n/a",AG11="P"),"n/a","")))</f>
        <v/>
      </c>
      <c r="AE11" s="24" t="str">
        <f ca="1">IF(AG11="n/a","",IF(VLOOKUP(CONCATENATE(AH11," – ",AI11), 'Project Checklist'!$F$28:$I$366, 4, FALSE)="--&gt; Maybe","?",""))</f>
        <v/>
      </c>
      <c r="AF11" s="25" t="str">
        <f ca="1">IF(AG11="n/a","",IF(VLOOKUP(CONCATENATE(AH11," – ",AI11), 'Project Checklist'!$F$28:$I$366, 4, FALSE)="--&gt; No","N",""))</f>
        <v/>
      </c>
      <c r="AG11" s="26" t="str">
        <f t="shared" ref="AG11:AG29" si="3">VLOOKUP(AH11,TblCredit,IF(ctrlTypo="Community",4,IF(ctrlTypo="NEI",5,6)),FALSE)</f>
        <v>P</v>
      </c>
      <c r="AH11" s="30" t="str">
        <f>Admin!A95</f>
        <v>VIS</v>
      </c>
      <c r="AI11" s="28" t="str">
        <f>Admin!B95</f>
        <v>Community Visioning</v>
      </c>
      <c r="AJ11" s="31"/>
      <c r="AK11" s="31"/>
    </row>
    <row r="12" spans="1:37" ht="14.25" customHeight="1">
      <c r="A12" s="8"/>
      <c r="B12" s="23" t="str">
        <f ca="1">IF(E12="n/a","",IF(VLOOKUP(CONCATENATE(F12," – ",G12),'Project Checklist'!$F$28:$I$366,4, FALSE)="--&gt; Yes","Y",IF(AND(VLOOKUP(CONCATENATE(F12," – ",G12), 'Project Checklist'!$F$28:$I$366, 4, FALSE)="--&gt; n/a",E12="P"),"n/a","")))</f>
        <v/>
      </c>
      <c r="C12" s="24" t="str">
        <f ca="1">IF(E12="n/a","",IF(VLOOKUP(CONCATENATE(F12," – ",G12), 'Project Checklist'!$F$28:$I$366, 4, FALSE)="--&gt; Maybe","?",""))</f>
        <v/>
      </c>
      <c r="D12" s="25" t="str">
        <f ca="1">IF(E12="n/a","",IF(VLOOKUP(CONCATENATE(F12," – ",G12), 'Project Checklist'!$F$28:$I$366, 4, FALSE)="--&gt; No","N",""))</f>
        <v/>
      </c>
      <c r="E12" s="26" t="str">
        <f t="shared" si="0"/>
        <v>O</v>
      </c>
      <c r="F12" s="27" t="str">
        <f>Admin!A5</f>
        <v>SMK</v>
      </c>
      <c r="G12" s="50" t="str">
        <f>Admin!B5</f>
        <v>Smoking Ban</v>
      </c>
      <c r="I12" s="29"/>
      <c r="J12" s="12"/>
      <c r="K12" s="23" t="str">
        <f ca="1">IF(N12="n/a","",IF(VLOOKUP(CONCATENATE(O12," – ",P12),'Project Checklist'!$F$28:$I$366,4, FALSE)="--&gt; Yes","Y",IF(AND(VLOOKUP(CONCATENATE(O12," – ",P12), 'Project Checklist'!$F$28:$I$366, 4, FALSE)="--&gt; n/a",N12="P"),"n/a","")))</f>
        <v/>
      </c>
      <c r="L12" s="24" t="str">
        <f ca="1">IF(N12="n/a","",IF(VLOOKUP(CONCATENATE(O12," – ",P12), 'Project Checklist'!$F$28:$I$366, 4, FALSE)="--&gt; Maybe","?",""))</f>
        <v/>
      </c>
      <c r="M12" s="25" t="str">
        <f ca="1">IF(N12="n/a","",IF(VLOOKUP(CONCATENATE(O12," – ",P12), 'Project Checklist'!$F$28:$I$366, 4, FALSE)="--&gt; No","N",""))</f>
        <v/>
      </c>
      <c r="N12" s="26" t="str">
        <f t="shared" si="1"/>
        <v>O</v>
      </c>
      <c r="O12" s="30" t="str">
        <f>Admin!A37</f>
        <v>LCS</v>
      </c>
      <c r="P12" s="28" t="str">
        <f>Admin!B37</f>
        <v>Lighting Control Schedule</v>
      </c>
      <c r="Q12" s="29"/>
      <c r="R12" s="29"/>
      <c r="S12" s="12"/>
      <c r="T12" s="23" t="str">
        <f ca="1">IF(W12="n/a","",IF(VLOOKUP(CONCATENATE(X12," – ",Y12),'Project Checklist'!$F$28:$I$366,4, FALSE)="--&gt; Yes","Y",IF(AND(VLOOKUP(CONCATENATE(X12," – ",Y12), 'Project Checklist'!$F$28:$I$366, 4, FALSE)="--&gt; n/a",W12="P"),"n/a","")))</f>
        <v/>
      </c>
      <c r="U12" s="24" t="str">
        <f ca="1">IF(W12="n/a","",IF(VLOOKUP(CONCATENATE(X12," – ",Y12), 'Project Checklist'!$F$28:$I$366, 4, FALSE)="--&gt; Maybe","?",""))</f>
        <v/>
      </c>
      <c r="V12" s="25" t="str">
        <f ca="1">IF(W12="n/a","",IF(VLOOKUP(CONCATENATE(X12," – ",Y12), 'Project Checklist'!$F$28:$I$366, 4, FALSE)="--&gt; No","N",""))</f>
        <v/>
      </c>
      <c r="W12" s="26" t="str">
        <f t="shared" si="2"/>
        <v>O</v>
      </c>
      <c r="X12" s="65" t="str">
        <f>Admin!A70</f>
        <v>SMP</v>
      </c>
      <c r="Y12" s="52" t="str">
        <f>Admin!B70</f>
        <v>Community Sound Mapping</v>
      </c>
      <c r="AD12" s="23" t="str">
        <f ca="1">IF(AG12="n/a","",IF(VLOOKUP(CONCATENATE(AH12," – ",AI12),'Project Checklist'!$F$28:$I$366,4, FALSE)="--&gt; Yes","Y",IF(AND(VLOOKUP(CONCATENATE(AH12," – ",AI12), 'Project Checklist'!$F$28:$I$366, 4, FALSE)="--&gt; n/a",AG12="P"),"n/a","")))</f>
        <v/>
      </c>
      <c r="AE12" s="24" t="str">
        <f ca="1">IF(AG12="n/a","",IF(VLOOKUP(CONCATENATE(AH12," – ",AI12), 'Project Checklist'!$F$28:$I$366, 4, FALSE)="--&gt; Maybe","?",""))</f>
        <v/>
      </c>
      <c r="AF12" s="25" t="str">
        <f ca="1">IF(AG12="n/a","",IF(VLOOKUP(CONCATENATE(AH12," – ",AI12), 'Project Checklist'!$F$28:$I$366, 4, FALSE)="--&gt; No","N",""))</f>
        <v/>
      </c>
      <c r="AG12" s="26" t="str">
        <f t="shared" si="3"/>
        <v>O</v>
      </c>
      <c r="AH12" s="30" t="str">
        <f>Admin!A96</f>
        <v>HIA</v>
      </c>
      <c r="AI12" s="28" t="str">
        <f>Admin!B96</f>
        <v>Health Impact Assessment Screening</v>
      </c>
      <c r="AJ12" s="31"/>
      <c r="AK12" s="31"/>
    </row>
    <row r="13" spans="1:37" ht="14.25" customHeight="1">
      <c r="A13" s="8"/>
      <c r="B13" s="23" t="str">
        <f ca="1">IF(E13="n/a","",IF(VLOOKUP(CONCATENATE(F13," – ",G13),'Project Checklist'!$F$28:$I$366,4, FALSE)="--&gt; Yes","Y",IF(AND(VLOOKUP(CONCATENATE(F13," – ",G13), 'Project Checklist'!$F$28:$I$366, 4, FALSE)="--&gt; n/a",E13="P"),"n/a","")))</f>
        <v/>
      </c>
      <c r="C13" s="24" t="str">
        <f ca="1">IF(E13="n/a","",IF(VLOOKUP(CONCATENATE(F13," – ",G13), 'Project Checklist'!$F$28:$I$366, 4, FALSE)="--&gt; Maybe","?",""))</f>
        <v/>
      </c>
      <c r="D13" s="25" t="str">
        <f ca="1">IF(E13="n/a","",IF(VLOOKUP(CONCATENATE(F13," – ",G13), 'Project Checklist'!$F$28:$I$366, 4, FALSE)="--&gt; No","N",""))</f>
        <v/>
      </c>
      <c r="E13" s="26" t="str">
        <f t="shared" si="0"/>
        <v>O</v>
      </c>
      <c r="F13" s="27" t="str">
        <f>Admin!A6</f>
        <v>SMO</v>
      </c>
      <c r="G13" s="50" t="str">
        <f>Admin!B6</f>
        <v>Outdoor Smoking Ban</v>
      </c>
      <c r="I13" s="29"/>
      <c r="J13" s="12"/>
      <c r="K13" s="23" t="str">
        <f ca="1">IF(N13="n/a","",IF(VLOOKUP(CONCATENATE(O13," – ",P13),'Project Checklist'!$F$28:$I$366,4, FALSE)="--&gt; Yes","Y",IF(AND(VLOOKUP(CONCATENATE(O13," – ",P13), 'Project Checklist'!$F$28:$I$366, 4, FALSE)="--&gt; n/a",N13="P"),"n/a","")))</f>
        <v/>
      </c>
      <c r="L13" s="24" t="str">
        <f ca="1">IF(N13="n/a","",IF(VLOOKUP(CONCATENATE(O13," – ",P13), 'Project Checklist'!$F$28:$I$366, 4, FALSE)="--&gt; Maybe","?",""))</f>
        <v/>
      </c>
      <c r="M13" s="25" t="str">
        <f ca="1">IF(N13="n/a","",IF(VLOOKUP(CONCATENATE(O13," – ",P13), 'Project Checklist'!$F$28:$I$366, 4, FALSE)="--&gt; No","N",""))</f>
        <v/>
      </c>
      <c r="N13" s="26" t="str">
        <f t="shared" si="1"/>
        <v>O</v>
      </c>
      <c r="O13" s="30" t="str">
        <f>Admin!A38</f>
        <v>EMI</v>
      </c>
      <c r="P13" s="28" t="str">
        <f>Admin!B38</f>
        <v>Community-wide Emittance Caps</v>
      </c>
      <c r="Q13" s="29"/>
      <c r="R13" s="29"/>
      <c r="S13" s="12"/>
      <c r="T13" s="23" t="str">
        <f ca="1">IF(W13="n/a","",IF(VLOOKUP(CONCATENATE(X13," – ",Y13),'Project Checklist'!$F$28:$I$366,4, FALSE)="--&gt; Yes","Y",IF(AND(VLOOKUP(CONCATENATE(X13," – ",Y13), 'Project Checklist'!$F$28:$I$366, 4, FALSE)="--&gt; n/a",W13="P"),"n/a","")))</f>
        <v/>
      </c>
      <c r="U13" s="24" t="str">
        <f ca="1">IF(W13="n/a","",IF(VLOOKUP(CONCATENATE(X13," – ",Y13), 'Project Checklist'!$F$28:$I$366, 4, FALSE)="--&gt; Maybe","?",""))</f>
        <v/>
      </c>
      <c r="V13" s="25" t="str">
        <f ca="1">IF(W13="n/a","",IF(VLOOKUP(CONCATENATE(X13," – ",Y13), 'Project Checklist'!$F$28:$I$366, 4, FALSE)="--&gt; No","N",""))</f>
        <v/>
      </c>
      <c r="W13" s="26" t="str">
        <f t="shared" si="2"/>
        <v>O</v>
      </c>
      <c r="X13" s="65" t="str">
        <f>Admin!A71</f>
        <v>PLN</v>
      </c>
      <c r="Y13" s="52" t="str">
        <f>Admin!B71</f>
        <v>Planning for Acoustics</v>
      </c>
      <c r="AD13" s="23" t="str">
        <f ca="1">IF(AG13="n/a","",IF(VLOOKUP(CONCATENATE(AH13," – ",AI13),'Project Checklist'!$F$28:$I$366,4, FALSE)="--&gt; Yes","Y",IF(AND(VLOOKUP(CONCATENATE(AH13," – ",AI13), 'Project Checklist'!$F$28:$I$366, 4, FALSE)="--&gt; n/a",AG13="P"),"n/a","")))</f>
        <v/>
      </c>
      <c r="AE13" s="24" t="str">
        <f ca="1">IF(AG13="n/a","",IF(VLOOKUP(CONCATENATE(AH13," – ",AI13), 'Project Checklist'!$F$28:$I$366, 4, FALSE)="--&gt; Maybe","?",""))</f>
        <v/>
      </c>
      <c r="AF13" s="25" t="str">
        <f ca="1">IF(AG13="n/a","",IF(VLOOKUP(CONCATENATE(AH13," – ",AI13), 'Project Checklist'!$F$28:$I$366, 4, FALSE)="--&gt; No","N",""))</f>
        <v/>
      </c>
      <c r="AG13" s="26" t="str">
        <f t="shared" si="3"/>
        <v>O</v>
      </c>
      <c r="AH13" s="30" t="str">
        <f>Admin!A97</f>
        <v>HII</v>
      </c>
      <c r="AI13" s="28" t="str">
        <f>Admin!B97</f>
        <v>Health Impact Assessment Implementation</v>
      </c>
      <c r="AJ13" s="31"/>
      <c r="AK13" s="31"/>
    </row>
    <row r="14" spans="1:37" ht="14.25" customHeight="1">
      <c r="A14" s="8"/>
      <c r="B14" s="23" t="str">
        <f ca="1">IF(E14="n/a","",IF(VLOOKUP(CONCATENATE(F14," – ",G14),'Project Checklist'!$F$28:$I$366,4, FALSE)="--&gt; Yes","Y",IF(AND(VLOOKUP(CONCATENATE(F14," – ",G14), 'Project Checklist'!$F$28:$I$366, 4, FALSE)="--&gt; n/a",E14="P"),"n/a","")))</f>
        <v/>
      </c>
      <c r="C14" s="24" t="str">
        <f ca="1">IF(E14="n/a","",IF(VLOOKUP(CONCATENATE(F14," – ",G14), 'Project Checklist'!$F$28:$I$366, 4, FALSE)="--&gt; Maybe","?",""))</f>
        <v/>
      </c>
      <c r="D14" s="25" t="str">
        <f ca="1">IF(E14="n/a","",IF(VLOOKUP(CONCATENATE(F14," – ",G14), 'Project Checklist'!$F$28:$I$366, 4, FALSE)="--&gt; No","N",""))</f>
        <v/>
      </c>
      <c r="E14" s="26" t="str">
        <f t="shared" si="0"/>
        <v>O</v>
      </c>
      <c r="F14" s="27" t="str">
        <f>Admin!A7</f>
        <v>LTA</v>
      </c>
      <c r="G14" s="50" t="str">
        <f>Admin!B7</f>
        <v>Long-Term Air Quality</v>
      </c>
      <c r="I14" s="29"/>
      <c r="J14" s="12"/>
      <c r="K14" s="23" t="str">
        <f ca="1">IF(N14="n/a","",IF(VLOOKUP(CONCATENATE(O14," – ",P14),'Project Checklist'!$F$28:$I$366,4, FALSE)="--&gt; Yes","Y",IF(AND(VLOOKUP(CONCATENATE(O14," – ",P14), 'Project Checklist'!$F$28:$I$366, 4, FALSE)="--&gt; n/a",N14="P"),"n/a","")))</f>
        <v/>
      </c>
      <c r="L14" s="24" t="str">
        <f ca="1">IF(N14="n/a","",IF(VLOOKUP(CONCATENATE(O14," – ",P14), 'Project Checklist'!$F$28:$I$366, 4, FALSE)="--&gt; Maybe","?",""))</f>
        <v/>
      </c>
      <c r="M14" s="25" t="str">
        <f ca="1">IF(N14="n/a","",IF(VLOOKUP(CONCATENATE(O14," – ",P14), 'Project Checklist'!$F$28:$I$366, 4, FALSE)="--&gt; No","N",""))</f>
        <v/>
      </c>
      <c r="N14" s="26" t="str">
        <f t="shared" si="1"/>
        <v>O</v>
      </c>
      <c r="O14" s="30" t="str">
        <f>Admin!A39</f>
        <v>LCT</v>
      </c>
      <c r="P14" s="28" t="str">
        <f>Admin!B39</f>
        <v>Obtrusive Light Control</v>
      </c>
      <c r="Q14" s="29"/>
      <c r="R14" s="29"/>
      <c r="S14" s="12"/>
      <c r="T14" s="23" t="str">
        <f ca="1">IF(W14="n/a","",IF(VLOOKUP(CONCATENATE(X14," – ",Y14),'Project Checklist'!$F$28:$I$366,4, FALSE)="--&gt; Yes","Y",IF(AND(VLOOKUP(CONCATENATE(X14," – ",Y14), 'Project Checklist'!$F$28:$I$366, 4, FALSE)="--&gt; n/a",W14="P"),"n/a","")))</f>
        <v/>
      </c>
      <c r="U14" s="24" t="str">
        <f ca="1">IF(W14="n/a","",IF(VLOOKUP(CONCATENATE(X14," – ",Y14), 'Project Checklist'!$F$28:$I$366, 4, FALSE)="--&gt; Maybe","?",""))</f>
        <v/>
      </c>
      <c r="V14" s="25" t="str">
        <f ca="1">IF(W14="n/a","",IF(VLOOKUP(CONCATENATE(X14," – ",Y14), 'Project Checklist'!$F$28:$I$366, 4, FALSE)="--&gt; No","N",""))</f>
        <v/>
      </c>
      <c r="W14" s="26" t="str">
        <f t="shared" si="2"/>
        <v>O</v>
      </c>
      <c r="X14" s="65" t="str">
        <f>Admin!A72</f>
        <v>ORD</v>
      </c>
      <c r="Y14" s="52" t="str">
        <f>Admin!B72</f>
        <v>Noise Ordinance</v>
      </c>
      <c r="AD14" s="23" t="str">
        <f ca="1">IF(AG14="n/a","",IF(VLOOKUP(CONCATENATE(AH14," – ",AI14),'Project Checklist'!$F$28:$I$366,4, FALSE)="--&gt; Yes","Y",IF(AND(VLOOKUP(CONCATENATE(AH14," – ",AI14), 'Project Checklist'!$F$28:$I$366, 4, FALSE)="--&gt; n/a",AG14="P"),"n/a","")))</f>
        <v/>
      </c>
      <c r="AE14" s="24" t="str">
        <f ca="1">IF(AG14="n/a","",IF(VLOOKUP(CONCATENATE(AH14," – ",AI14), 'Project Checklist'!$F$28:$I$366, 4, FALSE)="--&gt; Maybe","?",""))</f>
        <v/>
      </c>
      <c r="AF14" s="25" t="str">
        <f ca="1">IF(AG14="n/a","",IF(VLOOKUP(CONCATENATE(AH14," – ",AI14), 'Project Checklist'!$F$28:$I$366, 4, FALSE)="--&gt; No","N",""))</f>
        <v/>
      </c>
      <c r="AG14" s="26" t="str">
        <f t="shared" si="3"/>
        <v>O</v>
      </c>
      <c r="AH14" s="30" t="str">
        <f>Admin!A98</f>
        <v>SOC</v>
      </c>
      <c r="AI14" s="28" t="str">
        <f>Admin!B98</f>
        <v>Social Spaces</v>
      </c>
      <c r="AJ14" s="31"/>
      <c r="AK14" s="31"/>
    </row>
    <row r="15" spans="1:37" ht="14.25" customHeight="1">
      <c r="A15" s="8"/>
      <c r="B15" s="23" t="str">
        <f ca="1">IF(E15="n/a","",IF(VLOOKUP(CONCATENATE(F15," – ",G15),'Project Checklist'!$F$28:$I$366,4, FALSE)="--&gt; Yes","Y",IF(AND(VLOOKUP(CONCATENATE(F15," – ",G15), 'Project Checklist'!$F$28:$I$366, 4, FALSE)="--&gt; n/a",E15="P"),"n/a","")))</f>
        <v/>
      </c>
      <c r="C15" s="24" t="str">
        <f ca="1">IF(E15="n/a","",IF(VLOOKUP(CONCATENATE(F15," – ",G15), 'Project Checklist'!$F$28:$I$366, 4, FALSE)="--&gt; Maybe","?",""))</f>
        <v/>
      </c>
      <c r="D15" s="25" t="str">
        <f ca="1">IF(E15="n/a","",IF(VLOOKUP(CONCATENATE(F15," – ",G15), 'Project Checklist'!$F$28:$I$366, 4, FALSE)="--&gt; No","N",""))</f>
        <v/>
      </c>
      <c r="E15" s="26" t="str">
        <f t="shared" si="0"/>
        <v>O</v>
      </c>
      <c r="F15" s="27" t="str">
        <f>Admin!A8</f>
        <v>LTE</v>
      </c>
      <c r="G15" s="50" t="str">
        <f>Admin!B8</f>
        <v>Enhanced Long-Term Air Quality</v>
      </c>
      <c r="I15" s="29"/>
      <c r="J15" s="12"/>
      <c r="K15" s="23" t="str">
        <f ca="1">IF(N15="n/a","",IF(VLOOKUP(CONCATENATE(O15," – ",P15," (1 of the 2 parts is required)"),'Project Checklist'!$F$28:$I$366,4, FALSE)="--&gt; Yes","Y",IF(AND(VLOOKUP(CONCATENATE(O15," – ",P15," (1 of the 2 parts is required)"), 'Project Checklist'!$F$28:$I$366, 4, FALSE)="--&gt; n/a",N15="P"),"n/a","")))</f>
        <v/>
      </c>
      <c r="L15" s="24" t="str">
        <f ca="1">IF(N15="n/a","",IF(VLOOKUP(CONCATENATE(O15," – ",P15," (1 of the 2 parts is required)"), 'Project Checklist'!$F$28:$I$366, 4, FALSE)="--&gt; Maybe","?",""))</f>
        <v/>
      </c>
      <c r="M15" s="25" t="str">
        <f ca="1">IF(N15="n/a","",IF(VLOOKUP(CONCATENATE(O15," – ",P15," (1 of the 2 parts is required)"), 'Project Checklist'!$F$28:$I$366, 4, FALSE)="--&gt; No","N",""))</f>
        <v/>
      </c>
      <c r="N15" s="26" t="str">
        <f t="shared" si="1"/>
        <v>O</v>
      </c>
      <c r="O15" s="30" t="str">
        <f>Admin!A40</f>
        <v>LTR</v>
      </c>
      <c r="P15" s="28" t="str">
        <f>Admin!B40</f>
        <v>Light Trespass Mitigation for Sleep</v>
      </c>
      <c r="Q15" s="29"/>
      <c r="R15" s="29"/>
      <c r="S15" s="12"/>
      <c r="T15" s="23" t="str">
        <f ca="1">IF(W15="n/a","",IF(VLOOKUP(CONCATENATE(X15," – ",Y15),'Project Checklist'!$F$28:$I$366,4, FALSE)="--&gt; Yes","Y",IF(AND(VLOOKUP(CONCATENATE(X15," – ",Y15), 'Project Checklist'!$F$28:$I$366, 4, FALSE)="--&gt; n/a",W15="P"),"n/a","")))</f>
        <v/>
      </c>
      <c r="U15" s="24" t="str">
        <f ca="1">IF(W15="n/a","",IF(VLOOKUP(CONCATENATE(X15," – ",Y15), 'Project Checklist'!$F$28:$I$366, 4, FALSE)="--&gt; Maybe","?",""))</f>
        <v/>
      </c>
      <c r="V15" s="25" t="str">
        <f ca="1">IF(W15="n/a","",IF(VLOOKUP(CONCATENATE(X15," – ",Y15), 'Project Checklist'!$F$28:$I$366, 4, FALSE)="--&gt; No","N",""))</f>
        <v/>
      </c>
      <c r="W15" s="26" t="str">
        <f t="shared" si="2"/>
        <v>O</v>
      </c>
      <c r="X15" s="65" t="str">
        <f>Admin!A73</f>
        <v>NLV</v>
      </c>
      <c r="Y15" s="52" t="str">
        <f>Admin!B73</f>
        <v>Noise Level Limit</v>
      </c>
      <c r="AD15" s="23" t="str">
        <f ca="1">IF(AG15="n/a","",IF(VLOOKUP(CONCATENATE(AH15," – ",AI15),'Project Checklist'!$F$28:$I$366,4, FALSE)="--&gt; Yes","Y",IF(AND(VLOOKUP(CONCATENATE(AH15," – ",AI15), 'Project Checklist'!$F$28:$I$366, 4, FALSE)="--&gt; n/a",AG15="P"),"n/a","")))</f>
        <v/>
      </c>
      <c r="AE15" s="24" t="str">
        <f ca="1">IF(AG15="n/a","",IF(VLOOKUP(CONCATENATE(AH15," – ",AI15), 'Project Checklist'!$F$28:$I$366, 4, FALSE)="--&gt; Maybe","?",""))</f>
        <v/>
      </c>
      <c r="AF15" s="25" t="str">
        <f ca="1">IF(AG15="n/a","",IF(VLOOKUP(CONCATENATE(AH15," – ",AI15), 'Project Checklist'!$F$28:$I$366, 4, FALSE)="--&gt; No","N",""))</f>
        <v/>
      </c>
      <c r="AG15" s="26" t="str">
        <f t="shared" si="3"/>
        <v>O</v>
      </c>
      <c r="AH15" s="30" t="str">
        <f>Admin!A99</f>
        <v>PUB</v>
      </c>
      <c r="AI15" s="28" t="str">
        <f>Admin!B99</f>
        <v>Public Spaces</v>
      </c>
      <c r="AJ15" s="31"/>
      <c r="AK15" s="31"/>
    </row>
    <row r="16" spans="1:37" ht="14.25" customHeight="1">
      <c r="A16" s="8"/>
      <c r="B16" s="23" t="str">
        <f ca="1">IF(E16="n/a","",IF(VLOOKUP(CONCATENATE(F16," – ",G16),'Project Checklist'!$F$28:$I$366,4, FALSE)="--&gt; Yes","Y",IF(AND(VLOOKUP(CONCATENATE(F16," – ",G16), 'Project Checklist'!$F$28:$I$366, 4, FALSE)="--&gt; n/a",E16="P"),"n/a","")))</f>
        <v/>
      </c>
      <c r="C16" s="24" t="str">
        <f ca="1">IF(E16="n/a","",IF(VLOOKUP(CONCATENATE(F16," – ",G16), 'Project Checklist'!$F$28:$I$366, 4, FALSE)="--&gt; Maybe","?",""))</f>
        <v/>
      </c>
      <c r="D16" s="25" t="str">
        <f ca="1">IF(E16="n/a","",IF(VLOOKUP(CONCATENATE(F16," – ",G16), 'Project Checklist'!$F$28:$I$366, 4, FALSE)="--&gt; No","N",""))</f>
        <v/>
      </c>
      <c r="E16" s="26" t="str">
        <f t="shared" si="0"/>
        <v>O</v>
      </c>
      <c r="F16" s="27" t="str">
        <f>Admin!A9</f>
        <v>STA</v>
      </c>
      <c r="G16" s="50" t="str">
        <f>Admin!B9</f>
        <v>Short-Term Air Quality</v>
      </c>
      <c r="I16" s="29"/>
      <c r="J16" s="12"/>
      <c r="K16" s="23" t="str">
        <f ca="1">IF(N16="n/a","",IF(VLOOKUP(CONCATENATE(O16," – ",P16),'Project Checklist'!$F$28:$I$366,4, FALSE)="--&gt; Yes","Y",IF(AND(VLOOKUP(CONCATENATE(O16," – ",P16), 'Project Checklist'!$F$28:$I$366, 4, FALSE)="--&gt; n/a",N16="P"),"n/a","")))</f>
        <v/>
      </c>
      <c r="L16" s="24" t="str">
        <f ca="1">IF(N16="n/a","",IF(VLOOKUP(CONCATENATE(O16," – ",P16), 'Project Checklist'!$F$28:$I$366, 4, FALSE)="--&gt; Maybe","?",""))</f>
        <v/>
      </c>
      <c r="M16" s="25" t="str">
        <f ca="1">IF(N16="n/a","",IF(VLOOKUP(CONCATENATE(O16," – ",P16), 'Project Checklist'!$F$28:$I$366, 4, FALSE)="--&gt; No","N",""))</f>
        <v/>
      </c>
      <c r="N16" s="26" t="str">
        <f t="shared" si="1"/>
        <v>O</v>
      </c>
      <c r="O16" s="30" t="str">
        <f>Admin!A41</f>
        <v>SVI</v>
      </c>
      <c r="P16" s="28" t="str">
        <f>Admin!B41</f>
        <v>Visibility Facilitation</v>
      </c>
      <c r="Q16" s="29"/>
      <c r="R16" s="29"/>
      <c r="S16" s="12"/>
      <c r="T16" s="23" t="str">
        <f ca="1">IF(W16="n/a","",IF(VLOOKUP(CONCATENATE(X16," – ",Y16),'Project Checklist'!$F$28:$I$366,4, FALSE)="--&gt; Yes","Y",IF(AND(VLOOKUP(CONCATENATE(X16," – ",Y16), 'Project Checklist'!$F$28:$I$366, 4, FALSE)="--&gt; n/a",W16="P"),"n/a","")))</f>
        <v/>
      </c>
      <c r="U16" s="24" t="str">
        <f ca="1">IF(W16="n/a","",IF(VLOOKUP(CONCATENATE(X16," – ",Y16), 'Project Checklist'!$F$28:$I$366, 4, FALSE)="--&gt; Maybe","?",""))</f>
        <v/>
      </c>
      <c r="V16" s="25" t="str">
        <f ca="1">IF(W16="n/a","",IF(VLOOKUP(CONCATENATE(X16," – ",Y16), 'Project Checklist'!$F$28:$I$366, 4, FALSE)="--&gt; No","N",""))</f>
        <v/>
      </c>
      <c r="W16" s="26" t="str">
        <f t="shared" si="2"/>
        <v>O</v>
      </c>
      <c r="X16" s="65" t="str">
        <f>Admin!A74</f>
        <v>HEA</v>
      </c>
      <c r="Y16" s="52" t="str">
        <f>Admin!B74</f>
        <v>Hearing Health Education</v>
      </c>
      <c r="AD16" s="23" t="str">
        <f ca="1">IF(AG16="n/a","",IF(VLOOKUP(CONCATENATE(AH16," – ",AI16),'Project Checklist'!$F$28:$I$366,4, FALSE)="--&gt; Yes","Y",IF(AND(VLOOKUP(CONCATENATE(AH16," – ",AI16), 'Project Checklist'!$F$28:$I$366, 4, FALSE)="--&gt; n/a",AG16="P"),"n/a","")))</f>
        <v/>
      </c>
      <c r="AE16" s="24" t="str">
        <f ca="1">IF(AG16="n/a","",IF(VLOOKUP(CONCATENATE(AH16," – ",AI16), 'Project Checklist'!$F$28:$I$366, 4, FALSE)="--&gt; Maybe","?",""))</f>
        <v/>
      </c>
      <c r="AF16" s="25" t="str">
        <f ca="1">IF(AG16="n/a","",IF(VLOOKUP(CONCATENATE(AH16," – ",AI16), 'Project Checklist'!$F$28:$I$366, 4, FALSE)="--&gt; No","N",""))</f>
        <v/>
      </c>
      <c r="AG16" s="26" t="str">
        <f t="shared" si="3"/>
        <v>O</v>
      </c>
      <c r="AH16" s="30" t="str">
        <f>Admin!A100</f>
        <v>SAN</v>
      </c>
      <c r="AI16" s="28" t="str">
        <f>Admin!B100</f>
        <v>Sanitation</v>
      </c>
      <c r="AJ16" s="31"/>
      <c r="AK16" s="31"/>
    </row>
    <row r="17" spans="1:37" ht="14.25" customHeight="1">
      <c r="A17" s="8"/>
      <c r="B17" s="23" t="str">
        <f ca="1">IF(E17="n/a","",IF(VLOOKUP(CONCATENATE(F17," – ",G17),'Project Checklist'!$F$28:$I$366,4, FALSE)="--&gt; Yes","Y",IF(AND(VLOOKUP(CONCATENATE(F17," – ",G17), 'Project Checklist'!$F$28:$I$366, 4, FALSE)="--&gt; n/a",E17="P"),"n/a","")))</f>
        <v/>
      </c>
      <c r="C17" s="24" t="str">
        <f ca="1">IF(E17="n/a","",IF(VLOOKUP(CONCATENATE(F17," – ",G17), 'Project Checklist'!$F$28:$I$366, 4, FALSE)="--&gt; Maybe","?",""))</f>
        <v/>
      </c>
      <c r="D17" s="25" t="str">
        <f ca="1">IF(E17="n/a","",IF(VLOOKUP(CONCATENATE(F17," – ",G17), 'Project Checklist'!$F$28:$I$366, 4, FALSE)="--&gt; No","N",""))</f>
        <v/>
      </c>
      <c r="E17" s="26" t="str">
        <f t="shared" si="0"/>
        <v>O</v>
      </c>
      <c r="F17" s="27" t="str">
        <f>Admin!A10</f>
        <v>STE</v>
      </c>
      <c r="G17" s="50" t="str">
        <f>Admin!B10</f>
        <v>Enhanced Short-Term Air Quality</v>
      </c>
      <c r="I17" s="29"/>
      <c r="J17" s="12"/>
      <c r="K17" s="23" t="str">
        <f ca="1">IF(N17="n/a","",IF(VLOOKUP(CONCATENATE(O17," – ",P17),'Project Checklist'!$F$28:$I$366,4, FALSE)="--&gt; Yes","Y",IF(AND(VLOOKUP(CONCATENATE(O17," – ",P17), 'Project Checklist'!$F$28:$I$366, 4, FALSE)="--&gt; n/a",N17="P"),"n/a","")))</f>
        <v/>
      </c>
      <c r="L17" s="24" t="str">
        <f ca="1">IF(N17="n/a","",IF(VLOOKUP(CONCATENATE(O17," – ",P17), 'Project Checklist'!$F$28:$I$366, 4, FALSE)="--&gt; Maybe","?",""))</f>
        <v/>
      </c>
      <c r="M17" s="25" t="str">
        <f ca="1">IF(N17="n/a","",IF(VLOOKUP(CONCATENATE(O17," – ",P17), 'Project Checklist'!$F$28:$I$366, 4, FALSE)="--&gt; No","N",""))</f>
        <v/>
      </c>
      <c r="N17" s="26" t="str">
        <f t="shared" si="1"/>
        <v>O</v>
      </c>
      <c r="O17" s="30" t="str">
        <f>Admin!A42</f>
        <v>RLI</v>
      </c>
      <c r="P17" s="28" t="str">
        <f>Admin!B42</f>
        <v>Right-Of-Way Lighting</v>
      </c>
      <c r="Q17" s="29"/>
      <c r="R17" s="29"/>
      <c r="S17" s="12"/>
      <c r="T17" s="33">
        <f ca="1">COUNTIF(T12:T16,"*?")</f>
        <v>0</v>
      </c>
      <c r="U17" s="33">
        <f ca="1">COUNTIF(U12:U16,"*?")</f>
        <v>0</v>
      </c>
      <c r="V17" s="33">
        <f ca="1">COUNTIF(V12:V16,"*?")</f>
        <v>0</v>
      </c>
      <c r="W17" s="8" t="s">
        <v>766</v>
      </c>
      <c r="Y17" s="52"/>
      <c r="AD17" s="23" t="str">
        <f ca="1">IF(AG17="n/a","",IF(VLOOKUP(CONCATENATE(AH17," – ",AI17),'Project Checklist'!$F$28:$I$366,4, FALSE)="--&gt; Yes","Y",IF(AND(VLOOKUP(CONCATENATE(AH17," – ",AI17), 'Project Checklist'!$F$28:$I$366, 4, FALSE)="--&gt; n/a",AG17="P"),"n/a","")))</f>
        <v/>
      </c>
      <c r="AE17" s="24" t="str">
        <f ca="1">IF(AG17="n/a","",IF(VLOOKUP(CONCATENATE(AH17," – ",AI17), 'Project Checklist'!$F$28:$I$366, 4, FALSE)="--&gt; Maybe","?",""))</f>
        <v/>
      </c>
      <c r="AF17" s="25" t="str">
        <f ca="1">IF(AG17="n/a","",IF(VLOOKUP(CONCATENATE(AH17," – ",AI17), 'Project Checklist'!$F$28:$I$366, 4, FALSE)="--&gt; No","N",""))</f>
        <v/>
      </c>
      <c r="AG17" s="26" t="str">
        <f t="shared" si="3"/>
        <v>O</v>
      </c>
      <c r="AH17" s="30" t="str">
        <f>Admin!A101</f>
        <v>CHW</v>
      </c>
      <c r="AI17" s="28" t="str">
        <f>Admin!B101</f>
        <v>Community Health and Wellness</v>
      </c>
      <c r="AJ17" s="31"/>
      <c r="AK17" s="31"/>
    </row>
    <row r="18" spans="1:37" ht="14.25" customHeight="1">
      <c r="A18" s="8"/>
      <c r="B18" s="23" t="str">
        <f ca="1">IF(E18="n/a","",IF(VLOOKUP(CONCATENATE(F18," – ",G18),'Project Checklist'!$F$28:$I$366,4, FALSE)="--&gt; Yes","Y",IF(AND(VLOOKUP(CONCATENATE(F18," – ",G18), 'Project Checklist'!$F$28:$I$366, 4, FALSE)="--&gt; n/a",E18="P"),"n/a","")))</f>
        <v/>
      </c>
      <c r="C18" s="24" t="str">
        <f ca="1">IF(E18="n/a","",IF(VLOOKUP(CONCATENATE(F18," – ",G18), 'Project Checklist'!$F$28:$I$366, 4, FALSE)="--&gt; Maybe","?",""))</f>
        <v/>
      </c>
      <c r="D18" s="25" t="str">
        <f ca="1">IF(E18="n/a","",IF(VLOOKUP(CONCATENATE(F18," – ",G18), 'Project Checklist'!$F$28:$I$366, 4, FALSE)="--&gt; No","N",""))</f>
        <v/>
      </c>
      <c r="E18" s="26" t="str">
        <f t="shared" si="0"/>
        <v>O</v>
      </c>
      <c r="F18" s="27" t="str">
        <f>Admin!A11</f>
        <v>SEP</v>
      </c>
      <c r="G18" s="50" t="str">
        <f>Admin!B11</f>
        <v>Pollution Source Separation</v>
      </c>
      <c r="I18" s="29"/>
      <c r="J18" s="12"/>
      <c r="K18" s="23" t="str">
        <f ca="1">IF(N18="n/a","",IF(VLOOKUP(CONCATENATE(O18," – ",P18),'Project Checklist'!$F$28:$I$366,4, FALSE)="--&gt; Yes","Y",IF(AND(VLOOKUP(CONCATENATE(O18," – ",P18), 'Project Checklist'!$F$28:$I$366, 4, FALSE)="--&gt; n/a",N18="P"),"n/a","")))</f>
        <v/>
      </c>
      <c r="L18" s="24" t="str">
        <f ca="1">IF(N18="n/a","",IF(VLOOKUP(CONCATENATE(O18," – ",P18), 'Project Checklist'!$F$28:$I$366, 4, FALSE)="--&gt; Maybe","?",""))</f>
        <v/>
      </c>
      <c r="M18" s="25" t="str">
        <f ca="1">IF(N18="n/a","",IF(VLOOKUP(CONCATENATE(O18," – ",P18), 'Project Checklist'!$F$28:$I$366, 4, FALSE)="--&gt; No","N",""))</f>
        <v/>
      </c>
      <c r="N18" s="26" t="str">
        <f t="shared" si="1"/>
        <v>O</v>
      </c>
      <c r="O18" s="30" t="str">
        <f>Admin!A43</f>
        <v>LEX</v>
      </c>
      <c r="P18" s="28" t="str">
        <f>Admin!B43</f>
        <v>Lighting for Exteriors</v>
      </c>
      <c r="Q18" s="29"/>
      <c r="R18" s="29"/>
      <c r="S18" s="12"/>
      <c r="AD18" s="23" t="str">
        <f ca="1">IF(AG18="n/a","",IF(VLOOKUP(CONCATENATE(AH18," – ",AI18),'Project Checklist'!$F$28:$I$366,4, FALSE)="--&gt; Yes","Y",IF(AND(VLOOKUP(CONCATENATE(AH18," – ",AI18), 'Project Checklist'!$F$28:$I$366, 4, FALSE)="--&gt; n/a",AG18="P"),"n/a","")))</f>
        <v/>
      </c>
      <c r="AE18" s="24" t="str">
        <f ca="1">IF(AG18="n/a","",IF(VLOOKUP(CONCATENATE(AH18," – ",AI18), 'Project Checklist'!$F$28:$I$366, 4, FALSE)="--&gt; Maybe","?",""))</f>
        <v/>
      </c>
      <c r="AF18" s="25" t="str">
        <f ca="1">IF(AG18="n/a","",IF(VLOOKUP(CONCATENATE(AH18," – ",AI18), 'Project Checklist'!$F$28:$I$366, 4, FALSE)="--&gt; No","N",""))</f>
        <v/>
      </c>
      <c r="AG18" s="26" t="str">
        <f t="shared" si="3"/>
        <v>O</v>
      </c>
      <c r="AH18" s="30" t="str">
        <f>Admin!A102</f>
        <v>CHR</v>
      </c>
      <c r="AI18" s="28" t="str">
        <f>Admin!B102</f>
        <v>Community Health Resilience</v>
      </c>
      <c r="AJ18" s="31"/>
      <c r="AK18" s="31"/>
    </row>
    <row r="19" spans="1:37" ht="14.25" customHeight="1">
      <c r="A19" s="8"/>
      <c r="B19" s="23" t="str">
        <f ca="1">IF(E19="n/a","",IF(VLOOKUP(CONCATENATE(F19," – ",G19),'Project Checklist'!$F$28:$I$366,4, FALSE)="--&gt; Yes","Y",IF(AND(VLOOKUP(CONCATENATE(F19," – ",G19), 'Project Checklist'!$F$28:$I$366, 4, FALSE)="--&gt; n/a",E19="P"),"n/a","")))</f>
        <v/>
      </c>
      <c r="C19" s="24" t="str">
        <f ca="1">IF(E19="n/a","",IF(VLOOKUP(CONCATENATE(F19," – ",G19), 'Project Checklist'!$F$28:$I$366, 4, FALSE)="--&gt; Maybe","?",""))</f>
        <v/>
      </c>
      <c r="D19" s="25" t="str">
        <f ca="1">IF(E19="n/a","",IF(VLOOKUP(CONCATENATE(F19," – ",G19), 'Project Checklist'!$F$28:$I$366, 4, FALSE)="--&gt; No","N",""))</f>
        <v/>
      </c>
      <c r="E19" s="26" t="str">
        <f t="shared" si="0"/>
        <v>O</v>
      </c>
      <c r="F19" s="27" t="str">
        <f>Admin!A12</f>
        <v>PRK</v>
      </c>
      <c r="G19" s="50" t="str">
        <f>Admin!B12</f>
        <v>Parking Restrictions</v>
      </c>
      <c r="I19" s="29"/>
      <c r="J19" s="12"/>
      <c r="K19" s="23" t="str">
        <f ca="1">IF(N19="n/a","",IF(VLOOKUP(CONCATENATE(O19," – ",P19),'Project Checklist'!$F$28:$I$366,4, FALSE)="--&gt; Yes","Y",IF(AND(VLOOKUP(CONCATENATE(O19," – ",P19), 'Project Checklist'!$F$28:$I$366, 4, FALSE)="--&gt; n/a",N19="P"),"n/a","")))</f>
        <v/>
      </c>
      <c r="L19" s="24" t="str">
        <f ca="1">IF(N19="n/a","",IF(VLOOKUP(CONCATENATE(O19," – ",P19), 'Project Checklist'!$F$28:$I$366, 4, FALSE)="--&gt; Maybe","?",""))</f>
        <v/>
      </c>
      <c r="M19" s="25" t="str">
        <f ca="1">IF(N19="n/a","",IF(VLOOKUP(CONCATENATE(O19," – ",P19), 'Project Checklist'!$F$28:$I$366, 4, FALSE)="--&gt; No","N",""))</f>
        <v/>
      </c>
      <c r="N19" s="26" t="str">
        <f t="shared" si="1"/>
        <v>O</v>
      </c>
      <c r="O19" s="30" t="str">
        <f>Admin!A44</f>
        <v>MLI</v>
      </c>
      <c r="P19" s="28" t="str">
        <f>Admin!B44</f>
        <v>Mass Transit Lighting</v>
      </c>
      <c r="Q19" s="29"/>
      <c r="R19" s="29"/>
      <c r="S19" s="12"/>
      <c r="T19" s="234" t="s">
        <v>799</v>
      </c>
      <c r="U19" s="235"/>
      <c r="V19" s="235"/>
      <c r="W19" s="235"/>
      <c r="X19" s="235"/>
      <c r="Y19" s="235"/>
      <c r="Z19" s="235"/>
      <c r="AA19" s="236"/>
      <c r="AD19" s="23" t="str">
        <f ca="1">IF(AG19="n/a","",IF(VLOOKUP(CONCATENATE(AH19," – ",AI19),'Project Checklist'!$F$28:$I$366,4, FALSE)="--&gt; Yes","Y",IF(AND(VLOOKUP(CONCATENATE(AH19," – ",AI19), 'Project Checklist'!$F$28:$I$366, 4, FALSE)="--&gt; n/a",AG19="P"),"n/a","")))</f>
        <v/>
      </c>
      <c r="AE19" s="24" t="str">
        <f ca="1">IF(AG19="n/a","",IF(VLOOKUP(CONCATENATE(AH19," – ",AI19), 'Project Checklist'!$F$28:$I$366, 4, FALSE)="--&gt; Maybe","?",""))</f>
        <v/>
      </c>
      <c r="AF19" s="25" t="str">
        <f ca="1">IF(AG19="n/a","",IF(VLOOKUP(CONCATENATE(AH19," – ",AI19), 'Project Checklist'!$F$28:$I$366, 4, FALSE)="--&gt; No","N",""))</f>
        <v/>
      </c>
      <c r="AG19" s="26" t="str">
        <f t="shared" si="3"/>
        <v>O</v>
      </c>
      <c r="AH19" s="30" t="str">
        <f>Admin!A103</f>
        <v>PRI</v>
      </c>
      <c r="AI19" s="28" t="str">
        <f>Admin!B103</f>
        <v>Access to Primary Health Care</v>
      </c>
      <c r="AJ19" s="31"/>
      <c r="AK19" s="31"/>
    </row>
    <row r="20" spans="1:37" ht="14.25" customHeight="1">
      <c r="A20" s="8"/>
      <c r="B20" s="23" t="str">
        <f ca="1">IF(E20="n/a","",IF(VLOOKUP(CONCATENATE(F20," – ",G20),'Project Checklist'!$F$28:$I$366,4, FALSE)="--&gt; Yes","Y",IF(AND(VLOOKUP(CONCATENATE(F20," – ",G20), 'Project Checklist'!$F$28:$I$366, 4, FALSE)="--&gt; n/a",E20="P"),"n/a","")))</f>
        <v/>
      </c>
      <c r="C20" s="24" t="str">
        <f ca="1">IF(E20="n/a","",IF(VLOOKUP(CONCATENATE(F20," – ",G20), 'Project Checklist'!$F$28:$I$366, 4, FALSE)="--&gt; Maybe","?",""))</f>
        <v/>
      </c>
      <c r="D20" s="25" t="str">
        <f ca="1">IF(E20="n/a","",IF(VLOOKUP(CONCATENATE(F20," – ",G20), 'Project Checklist'!$F$28:$I$366, 4, FALSE)="--&gt; No","N",""))</f>
        <v/>
      </c>
      <c r="E20" s="26" t="str">
        <f t="shared" si="0"/>
        <v>O</v>
      </c>
      <c r="F20" s="27" t="str">
        <f>Admin!A13</f>
        <v>LEV</v>
      </c>
      <c r="G20" s="50" t="str">
        <f>Admin!B13</f>
        <v>Low Emission Vehicles</v>
      </c>
      <c r="I20" s="29"/>
      <c r="J20" s="12"/>
      <c r="K20" s="33">
        <f ca="1">COUNTIF(K12:K19,"?*")</f>
        <v>0</v>
      </c>
      <c r="L20" s="33">
        <f ca="1">COUNTIF(L12:L19,"?*")</f>
        <v>0</v>
      </c>
      <c r="M20" s="33">
        <f ca="1">COUNTIF(M12:M19,"?*")</f>
        <v>0</v>
      </c>
      <c r="N20" s="8" t="s">
        <v>766</v>
      </c>
      <c r="O20" s="28"/>
      <c r="P20" s="28"/>
      <c r="Q20" s="29"/>
      <c r="R20" s="29"/>
      <c r="S20" s="12"/>
      <c r="T20" s="20" t="s">
        <v>10</v>
      </c>
      <c r="U20" s="20" t="s">
        <v>12</v>
      </c>
      <c r="V20" s="20" t="s">
        <v>13</v>
      </c>
      <c r="W20" s="21"/>
      <c r="X20" s="21"/>
      <c r="Y20" s="21"/>
      <c r="Z20" s="21"/>
      <c r="AA20" s="21"/>
      <c r="AB20" s="14"/>
      <c r="AD20" s="23" t="str">
        <f ca="1">IF(AG20="n/a","",IF(VLOOKUP(CONCATENATE(AH20," – ",AI20),'Project Checklist'!$F$28:$I$366,4, FALSE)="--&gt; Yes","Y",IF(AND(VLOOKUP(CONCATENATE(AH20," – ",AI20), 'Project Checklist'!$F$28:$I$366, 4, FALSE)="--&gt; n/a",AG20="P"),"n/a","")))</f>
        <v/>
      </c>
      <c r="AE20" s="24" t="str">
        <f ca="1">IF(AG20="n/a","",IF(VLOOKUP(CONCATENATE(AH20," – ",AI20), 'Project Checklist'!$F$28:$I$366, 4, FALSE)="--&gt; Maybe","?",""))</f>
        <v/>
      </c>
      <c r="AF20" s="25" t="str">
        <f ca="1">IF(AG20="n/a","",IF(VLOOKUP(CONCATENATE(AH20," – ",AI20), 'Project Checklist'!$F$28:$I$366, 4, FALSE)="--&gt; No","N",""))</f>
        <v/>
      </c>
      <c r="AG20" s="26" t="str">
        <f t="shared" si="3"/>
        <v>O</v>
      </c>
      <c r="AH20" s="30" t="str">
        <f>Admin!A104</f>
        <v>EDU</v>
      </c>
      <c r="AI20" s="28" t="str">
        <f>Admin!B104</f>
        <v>Educational Opportunity</v>
      </c>
      <c r="AJ20" s="31"/>
      <c r="AK20" s="31"/>
    </row>
    <row r="21" spans="1:37" ht="14.25" customHeight="1">
      <c r="A21" s="8"/>
      <c r="B21" s="23" t="str">
        <f ca="1">IF(E21="n/a","",IF(VLOOKUP(CONCATENATE(F21," – ",G21),'Project Checklist'!$F$28:$I$366,4, FALSE)="--&gt; Yes","Y",IF(AND(VLOOKUP(CONCATENATE(F21," – ",G21), 'Project Checklist'!$F$28:$I$366, 4, FALSE)="--&gt; n/a",E21="P"),"n/a","")))</f>
        <v/>
      </c>
      <c r="C21" s="24" t="str">
        <f ca="1">IF(E21="n/a","",IF(VLOOKUP(CONCATENATE(F21," – ",G21), 'Project Checklist'!$F$28:$I$366, 4, FALSE)="--&gt; Maybe","?",""))</f>
        <v/>
      </c>
      <c r="D21" s="25" t="str">
        <f ca="1">IF(E21="n/a","",IF(VLOOKUP(CONCATENATE(F21," – ",G21), 'Project Checklist'!$F$28:$I$366, 4, FALSE)="--&gt; No","N",""))</f>
        <v/>
      </c>
      <c r="E21" s="26" t="str">
        <f t="shared" si="0"/>
        <v>O</v>
      </c>
      <c r="F21" s="27" t="str">
        <f>Admin!A14</f>
        <v>AED</v>
      </c>
      <c r="G21" s="50" t="str">
        <f>Admin!B14</f>
        <v>Air Quality Education</v>
      </c>
      <c r="I21" s="29"/>
      <c r="J21" s="12"/>
      <c r="S21" s="12"/>
      <c r="T21" s="23" t="str">
        <f ca="1">IF(W21="n/a","",IF(VLOOKUP(CONCATENATE(X21," – ",Y21),'Project Checklist'!$F$28:$I$366,4, FALSE)="--&gt; Yes","Y",IF(AND(VLOOKUP(CONCATENATE(X21," – ",Y21), 'Project Checklist'!$F$28:$I$366, 4, FALSE)="--&gt; n/a",W21="P"),"n/a","")))</f>
        <v/>
      </c>
      <c r="U21" s="24" t="str">
        <f ca="1">IF(W21="n/a","",IF(VLOOKUP(CONCATENATE(X21," – ",Y21), 'Project Checklist'!$F$28:$I$366, 4, FALSE)="--&gt; Maybe","?",""))</f>
        <v/>
      </c>
      <c r="V21" s="25" t="str">
        <f ca="1">IF(W21="n/a","",IF(VLOOKUP(CONCATENATE(X21," – ",Y21), 'Project Checklist'!$F$28:$I$366, 4, FALSE)="--&gt; No","N",""))</f>
        <v/>
      </c>
      <c r="W21" s="26" t="str">
        <f t="shared" ref="W21:W27" si="4">VLOOKUP(X21,TblCredit,IF(ctrlTypo="Community",4,IF(ctrlTypo="NEI",5,6)),FALSE)</f>
        <v>P</v>
      </c>
      <c r="X21" s="65" t="str">
        <f>Admin!A75</f>
        <v>HWM</v>
      </c>
      <c r="Y21" s="52" t="str">
        <f>Admin!B75</f>
        <v>Hazardous Waste Management</v>
      </c>
      <c r="AB21" s="14"/>
      <c r="AD21" s="23" t="str">
        <f ca="1">IF(AG21="n/a","",IF(VLOOKUP(CONCATENATE(AH21," – ",AI21),'Project Checklist'!$F$28:$I$366,4, FALSE)="--&gt; Yes","Y",IF(AND(VLOOKUP(CONCATENATE(AH21," – ",AI21), 'Project Checklist'!$F$28:$I$366, 4, FALSE)="--&gt; n/a",AG21="P"),"n/a","")))</f>
        <v/>
      </c>
      <c r="AE21" s="24" t="str">
        <f ca="1">IF(AG21="n/a","",IF(VLOOKUP(CONCATENATE(AH21," – ",AI21), 'Project Checklist'!$F$28:$I$366, 4, FALSE)="--&gt; Maybe","?",""))</f>
        <v/>
      </c>
      <c r="AF21" s="25" t="str">
        <f ca="1">IF(AG21="n/a","",IF(VLOOKUP(CONCATENATE(AH21," – ",AI21), 'Project Checklist'!$F$28:$I$366, 4, FALSE)="--&gt; No","N",""))</f>
        <v/>
      </c>
      <c r="AG21" s="26" t="str">
        <f t="shared" si="3"/>
        <v>O</v>
      </c>
      <c r="AH21" s="30" t="str">
        <f>Admin!A105</f>
        <v>HOU</v>
      </c>
      <c r="AI21" s="28" t="str">
        <f>Admin!B105</f>
        <v>Fundamental Housing Quality</v>
      </c>
      <c r="AJ21" s="31"/>
      <c r="AK21" s="31"/>
    </row>
    <row r="22" spans="1:37" ht="14.25" customHeight="1">
      <c r="A22" s="50"/>
      <c r="B22" s="33">
        <f ca="1">COUNTIF(B12:B21,"?*")</f>
        <v>0</v>
      </c>
      <c r="C22" s="33">
        <f ca="1">COUNTIF(C12:C21,"?*")</f>
        <v>0</v>
      </c>
      <c r="D22" s="33">
        <f ca="1">COUNTIF(D12:D21,"?*")</f>
        <v>0</v>
      </c>
      <c r="E22" s="8" t="s">
        <v>766</v>
      </c>
      <c r="F22" s="50"/>
      <c r="G22" s="50"/>
      <c r="H22" s="29"/>
      <c r="I22" s="29"/>
      <c r="J22" s="12"/>
      <c r="K22" s="246" t="s">
        <v>959</v>
      </c>
      <c r="L22" s="247"/>
      <c r="M22" s="247"/>
      <c r="N22" s="247"/>
      <c r="O22" s="247"/>
      <c r="P22" s="247"/>
      <c r="Q22" s="247"/>
      <c r="R22" s="248"/>
      <c r="S22" s="12"/>
      <c r="T22" s="23" t="str">
        <f ca="1">IF(W22="n/a","",IF(VLOOKUP(CONCATENATE(X22," – ",Y22),'Project Checklist'!$F$28:$I$366,4, FALSE)="--&gt; Yes","Y",IF(AND(VLOOKUP(CONCATENATE(X22," – ",Y22), 'Project Checklist'!$F$28:$I$366, 4, FALSE)="--&gt; n/a",W22="P"),"n/a","")))</f>
        <v/>
      </c>
      <c r="U22" s="24" t="str">
        <f ca="1">IF(W22="n/a","",IF(VLOOKUP(CONCATENATE(X22," – ",Y22), 'Project Checklist'!$F$28:$I$366, 4, FALSE)="--&gt; Maybe","?",""))</f>
        <v/>
      </c>
      <c r="V22" s="25" t="str">
        <f ca="1">IF(W22="n/a","",IF(VLOOKUP(CONCATENATE(X22," – ",Y22), 'Project Checklist'!$F$28:$I$366, 4, FALSE)="--&gt; No","N",""))</f>
        <v/>
      </c>
      <c r="W22" s="26" t="str">
        <f t="shared" si="4"/>
        <v>O</v>
      </c>
      <c r="X22" s="65" t="str">
        <f>Admin!A76</f>
        <v>WST</v>
      </c>
      <c r="Y22" s="52" t="str">
        <f>Admin!B76</f>
        <v>Waste Stream Management</v>
      </c>
      <c r="AB22" s="14"/>
      <c r="AD22" s="23" t="str">
        <f ca="1">IF(AG22="n/a","",IF(VLOOKUP(CONCATENATE(AH22," – ",AI22),'Project Checklist'!$F$28:$I$366,4, FALSE)="--&gt; Yes","Y",IF(AND(VLOOKUP(CONCATENATE(AH22," – ",AI22), 'Project Checklist'!$F$28:$I$366, 4, FALSE)="--&gt; n/a",AG22="P"),"n/a","")))</f>
        <v/>
      </c>
      <c r="AE22" s="24" t="str">
        <f ca="1">IF(AG22="n/a","",IF(VLOOKUP(CONCATENATE(AH22," – ",AI22), 'Project Checklist'!$F$28:$I$366, 4, FALSE)="--&gt; Maybe","?",""))</f>
        <v/>
      </c>
      <c r="AF22" s="25" t="str">
        <f ca="1">IF(AG22="n/a","",IF(VLOOKUP(CONCATENATE(AH22," – ",AI22), 'Project Checklist'!$F$28:$I$366, 4, FALSE)="--&gt; No","N",""))</f>
        <v/>
      </c>
      <c r="AG22" s="26" t="str">
        <f t="shared" si="3"/>
        <v>O</v>
      </c>
      <c r="AH22" s="30" t="str">
        <f>Admin!A106</f>
        <v>EQU</v>
      </c>
      <c r="AI22" s="28" t="str">
        <f>Admin!B106</f>
        <v>Housing Equity and Affordability</v>
      </c>
      <c r="AJ22" s="31"/>
      <c r="AK22" s="31"/>
    </row>
    <row r="23" spans="1:37" ht="14.25" customHeight="1">
      <c r="A23" s="8"/>
      <c r="J23" s="12"/>
      <c r="K23" s="20" t="s">
        <v>10</v>
      </c>
      <c r="L23" s="20" t="s">
        <v>12</v>
      </c>
      <c r="M23" s="20" t="s">
        <v>13</v>
      </c>
      <c r="N23" s="21"/>
      <c r="O23" s="21"/>
      <c r="P23" s="21"/>
      <c r="Q23" s="21"/>
      <c r="R23" s="21"/>
      <c r="S23" s="8"/>
      <c r="T23" s="23" t="str">
        <f ca="1">IF(W23="n/a","",IF(VLOOKUP(CONCATENATE(X23," – ",Y23),'Project Checklist'!$F$28:$I$366,4, FALSE)="--&gt; Yes","Y",IF(AND(VLOOKUP(CONCATENATE(X23," – ",Y23), 'Project Checklist'!$F$28:$I$366, 4, FALSE)="--&gt; n/a",W23="P"),"n/a","")))</f>
        <v/>
      </c>
      <c r="U23" s="24" t="str">
        <f ca="1">IF(W23="n/a","",IF(VLOOKUP(CONCATENATE(X23," – ",Y23), 'Project Checklist'!$F$28:$I$366, 4, FALSE)="--&gt; Maybe","?",""))</f>
        <v/>
      </c>
      <c r="V23" s="25" t="str">
        <f ca="1">IF(W23="n/a","",IF(VLOOKUP(CONCATENATE(X23," – ",Y23), 'Project Checklist'!$F$28:$I$366, 4, FALSE)="--&gt; No","N",""))</f>
        <v/>
      </c>
      <c r="W23" s="26" t="str">
        <f t="shared" si="4"/>
        <v>O</v>
      </c>
      <c r="X23" s="65" t="str">
        <f>Admin!A77</f>
        <v>REM</v>
      </c>
      <c r="Y23" s="52" t="str">
        <f>Admin!B77</f>
        <v>Site Remediation and Redevelopment</v>
      </c>
      <c r="AB23" s="14"/>
      <c r="AD23" s="23" t="str">
        <f ca="1">IF(AG23="n/a","",IF(VLOOKUP(CONCATENATE(AH23," – ",AI23," (1 of the 2 parts is required)"),'Project Checklist'!$F$28:$I$366,4, FALSE)="--&gt; Yes","Y",IF(AND(VLOOKUP(CONCATENATE(AH23," – ",AI23," (1 of the 2 parts is required)"), 'Project Checklist'!$F$28:$I$366, 4, FALSE)="--&gt; n/a",AG23="P"),"n/a","")))</f>
        <v/>
      </c>
      <c r="AE23" s="24" t="str">
        <f ca="1">IF(AG23="n/a","",IF(VLOOKUP(CONCATENATE(AH23," – ",AI23, " (1 of the 2 parts is required)"), 'Project Checklist'!$F$28:$I$366, 4, FALSE)="--&gt; Maybe","?",""))</f>
        <v/>
      </c>
      <c r="AF23" s="25" t="str">
        <f ca="1">IF(AG23="n/a","",IF(VLOOKUP(CONCATENATE(AH23," – ",AI23," (1 of the 2 parts is required)"), 'Project Checklist'!$F$28:$I$366, 4, FALSE)="--&gt; No","N",""))</f>
        <v/>
      </c>
      <c r="AG23" s="26" t="str">
        <f t="shared" si="3"/>
        <v>O</v>
      </c>
      <c r="AH23" s="30" t="str">
        <f>Admin!A107</f>
        <v>DIG</v>
      </c>
      <c r="AI23" s="28" t="str">
        <f>Admin!B107</f>
        <v>Digital Connectivity</v>
      </c>
      <c r="AJ23" s="31"/>
      <c r="AK23" s="31"/>
    </row>
    <row r="24" spans="1:37" ht="14.25" customHeight="1">
      <c r="A24" s="8"/>
      <c r="B24" s="228" t="s">
        <v>1</v>
      </c>
      <c r="C24" s="229"/>
      <c r="D24" s="229"/>
      <c r="E24" s="229"/>
      <c r="F24" s="229"/>
      <c r="G24" s="229"/>
      <c r="H24" s="229"/>
      <c r="I24" s="230"/>
      <c r="J24" s="12"/>
      <c r="K24" s="23" t="str">
        <f ca="1">IF(N24="n/a","",IF(VLOOKUP(CONCATENATE(O24," – ",P24),'Project Checklist'!$F$28:$I$366,4, FALSE)="--&gt; Yes","Y",IF(AND(VLOOKUP(CONCATENATE(O24," – ",P24), 'Project Checklist'!$F$28:$I$366, 4, FALSE)="--&gt; n/a",N24="P"),"n/a","")))</f>
        <v/>
      </c>
      <c r="L24" s="24" t="str">
        <f ca="1">IF(N24="n/a","",IF(VLOOKUP(CONCATENATE(O24," – ",P24), 'Project Checklist'!$F$28:$I$366, 4, FALSE)="--&gt; Maybe","?",""))</f>
        <v/>
      </c>
      <c r="M24" s="25" t="str">
        <f ca="1">IF(N24="n/a","",IF(VLOOKUP(CONCATENATE(O24," – ",P24), 'Project Checklist'!$F$28:$I$366, 4, FALSE)="--&gt; No","N",""))</f>
        <v/>
      </c>
      <c r="N24" s="26" t="str">
        <f t="shared" ref="N24:N38" si="5">VLOOKUP(O24,TblCredit,IF(ctrlTypo="Community",4,IF(ctrlTypo="NEI",5,6)),FALSE)</f>
        <v>P</v>
      </c>
      <c r="O24" s="30" t="str">
        <f>Admin!A45</f>
        <v>MIX</v>
      </c>
      <c r="P24" s="28" t="str">
        <f>Admin!B45</f>
        <v>Mixed-Use Development</v>
      </c>
      <c r="Q24" s="29"/>
      <c r="R24" s="34"/>
      <c r="S24" s="12"/>
      <c r="T24" s="23" t="str">
        <f ca="1">IF(W24="n/a","",IF(VLOOKUP(CONCATENATE(X24," – ",Y24),'Project Checklist'!$F$28:$I$366,4, FALSE)="--&gt; Yes","Y",IF(AND(VLOOKUP(CONCATENATE(X24," – ",Y24), 'Project Checklist'!$F$28:$I$366, 4, FALSE)="--&gt; n/a",W24="P"),"n/a","")))</f>
        <v/>
      </c>
      <c r="U24" s="24" t="str">
        <f ca="1">IF(W24="n/a","",IF(VLOOKUP(CONCATENATE(X24," – ",Y24), 'Project Checklist'!$F$28:$I$366, 4, FALSE)="--&gt; Maybe","?",""))</f>
        <v/>
      </c>
      <c r="V24" s="25" t="str">
        <f ca="1">IF(W24="n/a","",IF(VLOOKUP(CONCATENATE(X24," – ",Y24), 'Project Checklist'!$F$28:$I$366, 4, FALSE)="--&gt; No","N",""))</f>
        <v/>
      </c>
      <c r="W24" s="26" t="str">
        <f t="shared" si="4"/>
        <v>O</v>
      </c>
      <c r="X24" s="65" t="str">
        <f>Admin!A78</f>
        <v>CRE</v>
      </c>
      <c r="Y24" s="52" t="str">
        <f>Admin!B78</f>
        <v>Construction Remediation</v>
      </c>
      <c r="AB24" s="14"/>
      <c r="AD24" s="23" t="str">
        <f ca="1">IF(AG24="n/a","",IF(VLOOKUP(CONCATENATE(AH24," – ",AI24),'Project Checklist'!$F$28:$I$366,4, FALSE)="--&gt; Yes","Y",IF(AND(VLOOKUP(CONCATENATE(AH24," – ",AI24), 'Project Checklist'!$F$28:$I$366, 4, FALSE)="--&gt; n/a",AG24="P"),"n/a","")))</f>
        <v/>
      </c>
      <c r="AE24" s="24" t="str">
        <f ca="1">IF(AG24="n/a","",IF(VLOOKUP(CONCATENATE(AH24," – ",AI24), 'Project Checklist'!$F$28:$I$366, 4, FALSE)="--&gt; Maybe","?",""))</f>
        <v/>
      </c>
      <c r="AF24" s="25" t="str">
        <f ca="1">IF(AG24="n/a","",IF(VLOOKUP(CONCATENATE(AH24," – ",AI24), 'Project Checklist'!$F$28:$I$366, 4, FALSE)="--&gt; No","N",""))</f>
        <v/>
      </c>
      <c r="AG24" s="26" t="str">
        <f t="shared" si="3"/>
        <v>O</v>
      </c>
      <c r="AH24" s="30" t="str">
        <f>Admin!A108</f>
        <v>ENG</v>
      </c>
      <c r="AI24" s="28" t="str">
        <f>Admin!B108</f>
        <v>Civic Engagement</v>
      </c>
      <c r="AJ24" s="31"/>
      <c r="AK24" s="31"/>
    </row>
    <row r="25" spans="1:37" ht="14.25" customHeight="1">
      <c r="A25" s="8"/>
      <c r="B25" s="35" t="s">
        <v>10</v>
      </c>
      <c r="C25" s="35" t="s">
        <v>12</v>
      </c>
      <c r="D25" s="35" t="s">
        <v>13</v>
      </c>
      <c r="E25" s="36"/>
      <c r="F25" s="36"/>
      <c r="G25" s="36"/>
      <c r="H25" s="31"/>
      <c r="I25" s="32"/>
      <c r="J25" s="12"/>
      <c r="K25" s="23" t="str">
        <f ca="1">IF(N25="n/a","",IF(VLOOKUP(CONCATENATE(O25," – ",P25),'Project Checklist'!$F$28:$I$366,4, FALSE)="--&gt; Yes","Y",IF(AND(VLOOKUP(CONCATENATE(O25," – ",P25), 'Project Checklist'!$F$28:$I$366, 4, FALSE)="--&gt; n/a",N25="P"),"n/a","")))</f>
        <v/>
      </c>
      <c r="L25" s="24" t="str">
        <f ca="1">IF(N25="n/a","",IF(VLOOKUP(CONCATENATE(O25," – ",P25), 'Project Checklist'!$F$28:$I$366, 4, FALSE)="--&gt; Maybe","?",""))</f>
        <v/>
      </c>
      <c r="M25" s="25" t="str">
        <f ca="1">IF(N25="n/a","",IF(VLOOKUP(CONCATENATE(O25," – ",P25), 'Project Checklist'!$F$28:$I$366, 4, FALSE)="--&gt; No","N",""))</f>
        <v/>
      </c>
      <c r="N25" s="26" t="str">
        <f t="shared" si="5"/>
        <v>O</v>
      </c>
      <c r="O25" s="30" t="str">
        <f>Admin!A46</f>
        <v>MNP</v>
      </c>
      <c r="P25" s="28" t="str">
        <f>Admin!B46</f>
        <v>Movement Network Planning</v>
      </c>
      <c r="Q25" s="29"/>
      <c r="R25" s="34"/>
      <c r="S25" s="12"/>
      <c r="T25" s="23" t="str">
        <f ca="1">IF(W25="n/a","",IF(VLOOKUP(CONCATENATE(X25," – ",Y25),'Project Checklist'!$F$28:$I$366,4, FALSE)="--&gt; Yes","Y",IF(AND(VLOOKUP(CONCATENATE(X25," – ",Y25), 'Project Checklist'!$F$28:$I$366, 4, FALSE)="--&gt; n/a",W25="P"),"n/a","")))</f>
        <v/>
      </c>
      <c r="U25" s="24" t="str">
        <f ca="1">IF(W25="n/a","",IF(VLOOKUP(CONCATENATE(X25," – ",Y25), 'Project Checklist'!$F$28:$I$366, 4, FALSE)="--&gt; Maybe","?",""))</f>
        <v/>
      </c>
      <c r="V25" s="25" t="str">
        <f ca="1">IF(W25="n/a","",IF(VLOOKUP(CONCATENATE(X25," – ",Y25), 'Project Checklist'!$F$28:$I$366, 4, FALSE)="--&gt; No","N",""))</f>
        <v/>
      </c>
      <c r="W25" s="26" t="str">
        <f t="shared" si="4"/>
        <v>O</v>
      </c>
      <c r="X25" s="65" t="str">
        <f>Admin!A79</f>
        <v>ODS</v>
      </c>
      <c r="Y25" s="52" t="str">
        <f>Admin!B79</f>
        <v>Outdoor Structures</v>
      </c>
      <c r="AD25" s="23" t="str">
        <f ca="1">IF(AG25="n/a","",IF(VLOOKUP(CONCATENATE(AH25," – ",AI25),'Project Checklist'!$F$28:$I$366,4, FALSE)="--&gt; Yes","Y",IF(AND(VLOOKUP(CONCATENATE(AH25," – ",AI25), 'Project Checklist'!$F$28:$I$366, 4, FALSE)="--&gt; n/a",AG25="P"),"n/a","")))</f>
        <v/>
      </c>
      <c r="AE25" s="24" t="str">
        <f ca="1">IF(AG25="n/a","",IF(VLOOKUP(CONCATENATE(AH25," – ",AI25), 'Project Checklist'!$F$28:$I$366, 4, FALSE)="--&gt; Maybe","?",""))</f>
        <v/>
      </c>
      <c r="AF25" s="25" t="str">
        <f ca="1">IF(AG25="n/a","",IF(VLOOKUP(CONCATENATE(AH25," – ",AI25), 'Project Checklist'!$F$28:$I$366, 4, FALSE)="--&gt; No","N",""))</f>
        <v/>
      </c>
      <c r="AG25" s="26" t="str">
        <f t="shared" si="3"/>
        <v>O</v>
      </c>
      <c r="AH25" s="30" t="str">
        <f>Admin!A109</f>
        <v>PRE</v>
      </c>
      <c r="AI25" s="28" t="str">
        <f>Admin!B109</f>
        <v>Preservation and Rehabilitation</v>
      </c>
    </row>
    <row r="26" spans="1:37" ht="14.25" customHeight="1">
      <c r="A26" s="8"/>
      <c r="B26" s="23" t="str">
        <f ca="1">IF(E26="n/a","",IF(VLOOKUP(CONCATENATE(F26," – ",G26),'Project Checklist'!$F$28:$I$366,4, FALSE)="--&gt; Yes","Y",IF(AND(VLOOKUP(CONCATENATE(F26," – ",G26), 'Project Checklist'!$F$28:$I$366, 4, FALSE)="--&gt; n/a",E26="P"),"n/a","")))</f>
        <v/>
      </c>
      <c r="C26" s="24" t="str">
        <f ca="1">IF(E26="n/a","",IF(VLOOKUP(CONCATENATE(F26," – ",G26), 'Project Checklist'!$F$28:$I$366, 4, FALSE)="--&gt; Maybe","?",""))</f>
        <v/>
      </c>
      <c r="D26" s="25" t="str">
        <f ca="1">IF(E26="n/a","",IF(VLOOKUP(CONCATENATE(F26," – ",G26), 'Project Checklist'!$F$28:$I$366, 4, FALSE)="--&gt; No","N",""))</f>
        <v/>
      </c>
      <c r="E26" s="26" t="str">
        <f t="shared" ref="E26:E35" si="6">VLOOKUP(F26,TblCredit,IF(ctrlTypo="Community",4,IF(ctrlTypo="NEI",5,6)),FALSE)</f>
        <v>P</v>
      </c>
      <c r="F26" s="30" t="str">
        <f>Admin!A15</f>
        <v>WQT</v>
      </c>
      <c r="G26" s="51" t="str">
        <f>Admin!B15</f>
        <v>Drinking Water Quality</v>
      </c>
      <c r="H26" s="31"/>
      <c r="I26" s="32"/>
      <c r="J26" s="12"/>
      <c r="K26" s="23" t="str">
        <f ca="1">IF(N26="n/a","",IF(VLOOKUP(CONCATENATE(O26," – ",P26),'Project Checklist'!$F$28:$I$366,4, FALSE)="--&gt; Yes","Y",IF(AND(VLOOKUP(CONCATENATE(O26," – ",P26), 'Project Checklist'!$F$28:$I$366, 4, FALSE)="--&gt; n/a",N26="P"),"n/a","")))</f>
        <v/>
      </c>
      <c r="L26" s="24" t="str">
        <f ca="1">IF(N26="n/a","",IF(VLOOKUP(CONCATENATE(O26," – ",P26), 'Project Checklist'!$F$28:$I$366, 4, FALSE)="--&gt; Maybe","?",""))</f>
        <v/>
      </c>
      <c r="M26" s="25" t="str">
        <f ca="1">IF(N26="n/a","",IF(VLOOKUP(CONCATENATE(O26," – ",P26), 'Project Checklist'!$F$28:$I$366, 4, FALSE)="--&gt; No","N",""))</f>
        <v/>
      </c>
      <c r="N26" s="26" t="str">
        <f t="shared" si="5"/>
        <v>O</v>
      </c>
      <c r="O26" s="30" t="str">
        <f>Admin!A47</f>
        <v>WAK</v>
      </c>
      <c r="P26" s="28" t="str">
        <f>Admin!B47</f>
        <v>Walkability</v>
      </c>
      <c r="Q26" s="29"/>
      <c r="R26" s="34"/>
      <c r="S26" s="12"/>
      <c r="T26" s="23" t="str">
        <f ca="1">IF(W26="n/a","",IF(VLOOKUP(CONCATENATE(X26," – ",Y26),'Project Checklist'!$F$28:$I$366,4, FALSE)="--&gt; Yes","Y",IF(AND(VLOOKUP(CONCATENATE(X26," – ",Y26), 'Project Checklist'!$F$28:$I$366, 4, FALSE)="--&gt; n/a",W26="P"),"n/a","")))</f>
        <v/>
      </c>
      <c r="U26" s="24" t="str">
        <f ca="1">IF(W26="n/a","",IF(VLOOKUP(CONCATENATE(X26," – ",Y26), 'Project Checklist'!$F$28:$I$366, 4, FALSE)="--&gt; Maybe","?",""))</f>
        <v/>
      </c>
      <c r="V26" s="25" t="str">
        <f ca="1">IF(W26="n/a","",IF(VLOOKUP(CONCATENATE(X26," – ",Y26), 'Project Checklist'!$F$28:$I$366, 4, FALSE)="--&gt; No","N",""))</f>
        <v/>
      </c>
      <c r="W26" s="26" t="str">
        <f t="shared" si="4"/>
        <v>O</v>
      </c>
      <c r="X26" s="65" t="str">
        <f>Admin!A80</f>
        <v>PES</v>
      </c>
      <c r="Y26" s="52" t="str">
        <f>Admin!B80</f>
        <v>Landscaping and Pesticide Use</v>
      </c>
      <c r="AD26" s="23" t="str">
        <f ca="1">IF(AG26="n/a","",IF(VLOOKUP(CONCATENATE(AH26," – ",AI26),'Project Checklist'!$F$28:$I$366,4, FALSE)="--&gt; Yes","Y",IF(AND(VLOOKUP(CONCATENATE(AH26," – ",AI26), 'Project Checklist'!$F$28:$I$366, 4, FALSE)="--&gt; n/a",AG26="P"),"n/a","")))</f>
        <v/>
      </c>
      <c r="AE26" s="24" t="str">
        <f ca="1">IF(AG26="n/a","",IF(VLOOKUP(CONCATENATE(AH26," – ",AI26), 'Project Checklist'!$F$28:$I$366, 4, FALSE)="--&gt; Maybe","?",""))</f>
        <v/>
      </c>
      <c r="AF26" s="25" t="str">
        <f ca="1">IF(AG26="n/a","",IF(VLOOKUP(CONCATENATE(AH26," – ",AI26), 'Project Checklist'!$F$28:$I$366, 4, FALSE)="--&gt; No","N",""))</f>
        <v/>
      </c>
      <c r="AG26" s="26" t="str">
        <f t="shared" si="3"/>
        <v>O</v>
      </c>
      <c r="AH26" s="30" t="str">
        <f>Admin!A110</f>
        <v>CEL</v>
      </c>
      <c r="AI26" s="28" t="str">
        <f>Admin!B110</f>
        <v>Celebration of Place</v>
      </c>
    </row>
    <row r="27" spans="1:37" ht="14.25" customHeight="1">
      <c r="A27" s="8"/>
      <c r="B27" s="23" t="str">
        <f ca="1">IF(E27="n/a","",IF(VLOOKUP(CONCATENATE(F27," – ",G27),'Project Checklist'!$F$28:$I$366,4, FALSE)="--&gt; Yes","Y",IF(AND(VLOOKUP(CONCATENATE(F27," – ",G27), 'Project Checklist'!$F$28:$I$366, 4, FALSE)="--&gt; n/a",E27="P"),"n/a","")))</f>
        <v/>
      </c>
      <c r="C27" s="24" t="str">
        <f ca="1">IF(E27="n/a","",IF(VLOOKUP(CONCATENATE(F27," – ",G27), 'Project Checklist'!$F$28:$I$366, 4, FALSE)="--&gt; Maybe","?",""))</f>
        <v/>
      </c>
      <c r="D27" s="25" t="str">
        <f ca="1">IF(E27="n/a","",IF(VLOOKUP(CONCATENATE(F27," – ",G27), 'Project Checklist'!$F$28:$I$366, 4, FALSE)="--&gt; No","N",""))</f>
        <v/>
      </c>
      <c r="E27" s="26" t="str">
        <f t="shared" si="6"/>
        <v>O</v>
      </c>
      <c r="F27" s="30" t="str">
        <f>Admin!A16</f>
        <v>WAD</v>
      </c>
      <c r="G27" s="51" t="str">
        <f>Admin!B16</f>
        <v>Public Water Additives</v>
      </c>
      <c r="H27" s="31"/>
      <c r="I27" s="32"/>
      <c r="J27" s="12"/>
      <c r="K27" s="23" t="str">
        <f ca="1">IF(N27="n/a","",IF(VLOOKUP(CONCATENATE(O27," – ",P27),'Project Checklist'!$F$28:$I$366,4, FALSE)="--&gt; Yes","Y",IF(AND(VLOOKUP(CONCATENATE(O27," – ",P27), 'Project Checklist'!$F$28:$I$366, 4, FALSE)="--&gt; n/a",N27="P"),"n/a","")))</f>
        <v/>
      </c>
      <c r="L27" s="24" t="str">
        <f ca="1">IF(N27="n/a","",IF(VLOOKUP(CONCATENATE(O27," – ",P27), 'Project Checklist'!$F$28:$I$366, 4, FALSE)="--&gt; Maybe","?",""))</f>
        <v/>
      </c>
      <c r="M27" s="25" t="str">
        <f ca="1">IF(N27="n/a","",IF(VLOOKUP(CONCATENATE(O27," – ",P27), 'Project Checklist'!$F$28:$I$366, 4, FALSE)="--&gt; No","N",""))</f>
        <v/>
      </c>
      <c r="N27" s="26" t="str">
        <f t="shared" si="5"/>
        <v>O</v>
      </c>
      <c r="O27" s="30" t="str">
        <f>Admin!A48</f>
        <v>PED</v>
      </c>
      <c r="P27" s="28" t="str">
        <f>Admin!B48</f>
        <v>Pedestrian-Scale Design</v>
      </c>
      <c r="Q27" s="29"/>
      <c r="R27" s="34"/>
      <c r="S27" s="12"/>
      <c r="T27" s="23" t="str">
        <f ca="1">IF(W27="n/a","",IF(VLOOKUP(CONCATENATE(X27," – ",Y27),'Project Checklist'!$F$28:$I$366,4, FALSE)="--&gt; Yes","Y",IF(AND(VLOOKUP(CONCATENATE(X27," – ",Y27), 'Project Checklist'!$F$28:$I$366, 4, FALSE)="--&gt; n/a",W27="P"),"n/a","")))</f>
        <v/>
      </c>
      <c r="U27" s="24" t="str">
        <f ca="1">IF(W27="n/a","",IF(VLOOKUP(CONCATENATE(X27," – ",Y27), 'Project Checklist'!$F$28:$I$366, 4, FALSE)="--&gt; Maybe","?",""))</f>
        <v/>
      </c>
      <c r="V27" s="25" t="str">
        <f ca="1">IF(W27="n/a","",IF(VLOOKUP(CONCATENATE(X27," – ",Y27), 'Project Checklist'!$F$28:$I$366, 4, FALSE)="--&gt; No","N",""))</f>
        <v/>
      </c>
      <c r="W27" s="26" t="str">
        <f t="shared" si="4"/>
        <v>O</v>
      </c>
      <c r="X27" s="65" t="str">
        <f>Admin!A81</f>
        <v>HAZ</v>
      </c>
      <c r="Y27" s="52" t="str">
        <f>Admin!B81</f>
        <v>Hazard Communication</v>
      </c>
      <c r="AD27" s="23" t="str">
        <f ca="1">IF(AG27="n/a","",IF(VLOOKUP(CONCATENATE(AH27," – ",AI27," (1 of the 2 parts is required)"),'Project Checklist'!$F$28:$I$366,4, FALSE)="--&gt; Yes","Y",IF(AND(VLOOKUP(CONCATENATE(AH27," – ",AI27," (1 of the 2 parts is required)"), 'Project Checklist'!$F$28:$I$366, 4, FALSE)="--&gt; n/a",AG27="P"),"n/a","")))</f>
        <v/>
      </c>
      <c r="AE27" s="24" t="str">
        <f ca="1">IF(AG27="n/a","",IF(VLOOKUP(CONCATENATE(AH27," – ",AI27, " (1 of the 2 parts is required)"), 'Project Checklist'!$F$28:$I$366, 4, FALSE)="--&gt; Maybe","?",""))</f>
        <v/>
      </c>
      <c r="AF27" s="25" t="str">
        <f ca="1">IF(AG27="n/a","",IF(VLOOKUP(CONCATENATE(AH27," – ",AI27," (1 of the 2 parts is required)"), 'Project Checklist'!$F$28:$I$366, 4, FALSE)="--&gt; No","N",""))</f>
        <v/>
      </c>
      <c r="AG27" s="26" t="str">
        <f t="shared" si="3"/>
        <v>O</v>
      </c>
      <c r="AH27" s="30" t="str">
        <f>Admin!A111</f>
        <v>ART</v>
      </c>
      <c r="AI27" s="28" t="str">
        <f>Admin!B111</f>
        <v>Public Art</v>
      </c>
    </row>
    <row r="28" spans="1:37" ht="15" customHeight="1">
      <c r="A28" s="8"/>
      <c r="B28" s="23" t="str">
        <f ca="1">IF(E28="n/a","",IF(VLOOKUP(CONCATENATE(F28," – ",G28),'Project Checklist'!$F$28:$I$366,4, FALSE)="--&gt; Yes","Y",IF(AND(VLOOKUP(CONCATENATE(F28," – ",G28), 'Project Checklist'!$F$28:$I$366, 4, FALSE)="--&gt; n/a",E28="P"),"n/a","")))</f>
        <v/>
      </c>
      <c r="C28" s="24" t="str">
        <f ca="1">IF(E28="n/a","",IF(VLOOKUP(CONCATENATE(F28," – ",G28), 'Project Checklist'!$F$28:$I$366, 4, FALSE)="--&gt; Maybe","?",""))</f>
        <v/>
      </c>
      <c r="D28" s="25" t="str">
        <f ca="1">IF(E28="n/a","",IF(VLOOKUP(CONCATENATE(F28," – ",G28), 'Project Checklist'!$F$28:$I$366, 4, FALSE)="--&gt; No","N",""))</f>
        <v/>
      </c>
      <c r="E28" s="26" t="str">
        <f t="shared" si="6"/>
        <v>O</v>
      </c>
      <c r="F28" s="30" t="str">
        <f>Admin!A17</f>
        <v>PWT</v>
      </c>
      <c r="G28" s="51" t="str">
        <f>Admin!B17</f>
        <v>Periodic Water Quality Testing</v>
      </c>
      <c r="H28" s="31"/>
      <c r="I28" s="32"/>
      <c r="J28" s="12"/>
      <c r="K28" s="23" t="str">
        <f ca="1">IF(N28="n/a","",IF(VLOOKUP(CONCATENATE(O28," – ",P28),'Project Checklist'!$F$28:$I$366,4, FALSE)="--&gt; Yes","Y",IF(AND(VLOOKUP(CONCATENATE(O28," – ",P28), 'Project Checklist'!$F$28:$I$366, 4, FALSE)="--&gt; n/a",N28="P"),"n/a","")))</f>
        <v/>
      </c>
      <c r="L28" s="24" t="str">
        <f ca="1">IF(N28="n/a","",IF(VLOOKUP(CONCATENATE(O28," – ",P28), 'Project Checklist'!$F$28:$I$366, 4, FALSE)="--&gt; Maybe","?",""))</f>
        <v/>
      </c>
      <c r="M28" s="25" t="str">
        <f ca="1">IF(N28="n/a","",IF(VLOOKUP(CONCATENATE(O28," – ",P28), 'Project Checklist'!$F$28:$I$366, 4, FALSE)="--&gt; No","N",""))</f>
        <v/>
      </c>
      <c r="N28" s="26" t="str">
        <f t="shared" si="5"/>
        <v>O</v>
      </c>
      <c r="O28" s="30" t="str">
        <f>Admin!A49</f>
        <v>PDS</v>
      </c>
      <c r="P28" s="28" t="str">
        <f>Admin!B49</f>
        <v>Enhanced Pedestrian Environments</v>
      </c>
      <c r="Q28" s="29"/>
      <c r="R28" s="34"/>
      <c r="S28" s="12"/>
      <c r="T28" s="33">
        <f ca="1">COUNTIF(T22:T27,"*?")</f>
        <v>0</v>
      </c>
      <c r="U28" s="33">
        <f ca="1">COUNTIF(U22:U27,"*?")</f>
        <v>0</v>
      </c>
      <c r="V28" s="33">
        <f ca="1">COUNTIF(V22:V27,"*?")</f>
        <v>0</v>
      </c>
      <c r="W28" s="8" t="s">
        <v>766</v>
      </c>
      <c r="Y28" s="52"/>
      <c r="AD28" s="23" t="str">
        <f ca="1">IF(AG28="n/a","",IF(VLOOKUP(CONCATENATE(AH28," – ",AI28),'Project Checklist'!$F$28:$I$366,4, FALSE)="--&gt; Yes","Y",IF(AND(VLOOKUP(CONCATENATE(AH28," – ",AI28), 'Project Checklist'!$F$28:$I$366, 4, FALSE)="--&gt; n/a",AG28="P"),"n/a","")))</f>
        <v/>
      </c>
      <c r="AE28" s="24" t="str">
        <f ca="1">IF(AG28="n/a","",IF(VLOOKUP(CONCATENATE(AH28," – ",AI28), 'Project Checklist'!$F$28:$I$366, 4, FALSE)="--&gt; Maybe","?",""))</f>
        <v/>
      </c>
      <c r="AF28" s="25" t="str">
        <f ca="1">IF(AG28="n/a","",IF(VLOOKUP(CONCATENATE(AH28," – ",AI28), 'Project Checklist'!$F$28:$I$366, 4, FALSE)="--&gt; No","N",""))</f>
        <v/>
      </c>
      <c r="AG28" s="26" t="str">
        <f t="shared" si="3"/>
        <v>O</v>
      </c>
      <c r="AH28" s="30" t="str">
        <f>Admin!A112</f>
        <v>SAF</v>
      </c>
      <c r="AI28" s="28" t="str">
        <f>Admin!B112</f>
        <v>Community Confidence</v>
      </c>
    </row>
    <row r="29" spans="1:37" ht="14.25" customHeight="1">
      <c r="A29" s="8"/>
      <c r="B29" s="23" t="str">
        <f ca="1">IF(E29="n/a","",IF(VLOOKUP(CONCATENATE(F29," – ",G29),'Project Checklist'!$F$28:$I$366,4, FALSE)="--&gt; Yes","Y",IF(AND(VLOOKUP(CONCATENATE(F29," – ",G29), 'Project Checklist'!$F$28:$I$366, 4, FALSE)="--&gt; n/a",E29="P"),"n/a","")))</f>
        <v/>
      </c>
      <c r="C29" s="24" t="str">
        <f ca="1">IF(E29="n/a","",IF(VLOOKUP(CONCATENATE(F29," – ",G29), 'Project Checklist'!$F$28:$I$366, 4, FALSE)="--&gt; Maybe","?",""))</f>
        <v/>
      </c>
      <c r="D29" s="25" t="str">
        <f ca="1">IF(E29="n/a","",IF(VLOOKUP(CONCATENATE(F29," – ",G29), 'Project Checklist'!$F$28:$I$366, 4, FALSE)="--&gt; No","N",""))</f>
        <v/>
      </c>
      <c r="E29" s="26" t="str">
        <f t="shared" si="6"/>
        <v>O</v>
      </c>
      <c r="F29" s="30" t="str">
        <f>Admin!A18</f>
        <v>WQO</v>
      </c>
      <c r="G29" s="51" t="str">
        <f>Admin!B18</f>
        <v>High Quality Drinking Water</v>
      </c>
      <c r="H29" s="31"/>
      <c r="I29" s="32"/>
      <c r="J29" s="12"/>
      <c r="K29" s="23" t="str">
        <f ca="1">IF(N29="n/a","",IF(VLOOKUP(CONCATENATE(O29," – ",P29),'Project Checklist'!$F$28:$I$366,4, FALSE)="--&gt; Yes","Y",IF(AND(VLOOKUP(CONCATENATE(O29," – ",P29), 'Project Checklist'!$F$28:$I$366, 4, FALSE)="--&gt; n/a",N29="P"),"n/a","")))</f>
        <v/>
      </c>
      <c r="L29" s="24" t="str">
        <f ca="1">IF(N29="n/a","",IF(VLOOKUP(CONCATENATE(O29," – ",P29), 'Project Checklist'!$F$28:$I$366, 4, FALSE)="--&gt; Maybe","?",""))</f>
        <v/>
      </c>
      <c r="M29" s="25" t="str">
        <f ca="1">IF(N29="n/a","",IF(VLOOKUP(CONCATENATE(O29," – ",P29), 'Project Checklist'!$F$28:$I$366, 4, FALSE)="--&gt; No","N",""))</f>
        <v/>
      </c>
      <c r="N29" s="26" t="str">
        <f t="shared" si="5"/>
        <v>O</v>
      </c>
      <c r="O29" s="30" t="str">
        <f>Admin!A50</f>
        <v>CYC</v>
      </c>
      <c r="P29" s="28" t="str">
        <f>Admin!B50</f>
        <v>Cyclist Infrastructure</v>
      </c>
      <c r="Q29" s="29"/>
      <c r="R29" s="34"/>
      <c r="S29" s="12"/>
      <c r="AD29" s="23" t="str">
        <f ca="1">IF(AG29="n/a","",IF(VLOOKUP(CONCATENATE(AH29," – ",AI29),'Project Checklist'!$F$28:$I$366,4, FALSE)="--&gt; Yes","Y",IF(AND(VLOOKUP(CONCATENATE(AH29," – ",AI29), 'Project Checklist'!$F$28:$I$366, 4, FALSE)="--&gt; n/a",AG29="P"),"n/a","")))</f>
        <v/>
      </c>
      <c r="AE29" s="24" t="str">
        <f ca="1">IF(AG29="n/a","",IF(VLOOKUP(CONCATENATE(AH29," – ",AI29), 'Project Checklist'!$F$28:$I$366, 4, FALSE)="--&gt; Maybe","?",""))</f>
        <v/>
      </c>
      <c r="AF29" s="25" t="str">
        <f ca="1">IF(AG29="n/a","",IF(VLOOKUP(CONCATENATE(AH29," – ",AI29), 'Project Checklist'!$F$28:$I$366, 4, FALSE)="--&gt; No","N",""))</f>
        <v/>
      </c>
      <c r="AG29" s="26" t="str">
        <f t="shared" si="3"/>
        <v>O</v>
      </c>
      <c r="AH29" s="30" t="str">
        <f>Admin!A113</f>
        <v>POC</v>
      </c>
      <c r="AI29" s="28" t="str">
        <f>Admin!B113</f>
        <v>Post-Occupancy Surveys</v>
      </c>
    </row>
    <row r="30" spans="1:37" ht="14.25" customHeight="1">
      <c r="A30" s="8"/>
      <c r="B30" s="23" t="str">
        <f ca="1">IF(E30="n/a","",IF(VLOOKUP(CONCATENATE(F30," – ",G30),'Project Checklist'!$F$28:$I$366,4, FALSE)="--&gt; Yes","Y",IF(AND(VLOOKUP(CONCATENATE(F30," – ",G30), 'Project Checklist'!$F$28:$I$366, 4, FALSE)="--&gt; n/a",E30="P"),"n/a","")))</f>
        <v/>
      </c>
      <c r="C30" s="24" t="str">
        <f ca="1">IF(E30="n/a","",IF(VLOOKUP(CONCATENATE(F30," – ",G30), 'Project Checklist'!$F$28:$I$366, 4, FALSE)="--&gt; Maybe","?",""))</f>
        <v/>
      </c>
      <c r="D30" s="25" t="str">
        <f ca="1">IF(E30="n/a","",IF(VLOOKUP(CONCATENATE(F30," – ",G30), 'Project Checklist'!$F$28:$I$366, 4, FALSE)="--&gt; No","N",""))</f>
        <v/>
      </c>
      <c r="E30" s="26" t="str">
        <f t="shared" si="6"/>
        <v>O</v>
      </c>
      <c r="F30" s="30" t="str">
        <f>Admin!A19</f>
        <v>WAC</v>
      </c>
      <c r="G30" s="51" t="str">
        <f>Admin!B19</f>
        <v>Drinking Water Access</v>
      </c>
      <c r="H30" s="31"/>
      <c r="I30" s="32"/>
      <c r="J30" s="12"/>
      <c r="K30" s="23" t="str">
        <f ca="1">IF(N30="n/a","",IF(VLOOKUP(CONCATENATE(O30," – ",P30," (1 of the 3 parts is required)"),'Project Checklist'!$F$28:$I$366,4, FALSE)="--&gt; Yes","Y",IF(AND(VLOOKUP(CONCATENATE(O30," – ",P30," (1 of the 3 parts is required)"), 'Project Checklist'!$F$28:$I$366, 4, FALSE)="--&gt; n/a",N30="P"),"n/a","")))</f>
        <v/>
      </c>
      <c r="L30" s="24" t="str">
        <f ca="1">IF(N30="n/a","",IF(VLOOKUP(CONCATENATE(O30," – ",P30," (1 of the 3 parts is required)"), 'Project Checklist'!$F$28:$I$366, 4, FALSE)="--&gt; Maybe","?",""))</f>
        <v/>
      </c>
      <c r="M30" s="25" t="str">
        <f ca="1">IF(N30="n/a","",IF(VLOOKUP(CONCATENATE(O30," – ",P30," (1 of the 3 parts is required)"), 'Project Checklist'!$F$28:$I$366, 4, FALSE)="--&gt; No","N",""))</f>
        <v/>
      </c>
      <c r="N30" s="26" t="str">
        <f t="shared" si="5"/>
        <v>O</v>
      </c>
      <c r="O30" s="30" t="str">
        <f>Admin!A51</f>
        <v>BPK</v>
      </c>
      <c r="P30" s="28" t="str">
        <f>Admin!B51</f>
        <v>Bicycle Parking</v>
      </c>
      <c r="Q30" s="29"/>
      <c r="R30" s="34"/>
      <c r="S30" s="12"/>
      <c r="T30" s="240" t="s">
        <v>4</v>
      </c>
      <c r="U30" s="241"/>
      <c r="V30" s="241"/>
      <c r="W30" s="241"/>
      <c r="X30" s="241"/>
      <c r="Y30" s="241"/>
      <c r="Z30" s="241"/>
      <c r="AA30" s="242"/>
      <c r="AB30" s="14"/>
      <c r="AD30" s="33">
        <f ca="1">COUNTIF(AD12:AD29,"?*")</f>
        <v>0</v>
      </c>
      <c r="AE30" s="33">
        <f ca="1">COUNTIF(AE12:AE29,"?*")</f>
        <v>0</v>
      </c>
      <c r="AF30" s="33">
        <f ca="1">COUNTIF(AF12:AF29,"?*")</f>
        <v>0</v>
      </c>
      <c r="AG30" s="8" t="s">
        <v>766</v>
      </c>
      <c r="AH30" s="30"/>
      <c r="AI30" s="28"/>
    </row>
    <row r="31" spans="1:37" ht="14.25" customHeight="1">
      <c r="A31" s="8"/>
      <c r="B31" s="23" t="str">
        <f ca="1">IF(E31="n/a","",IF(VLOOKUP(CONCATENATE(F31," – ",G31),'Project Checklist'!$F$28:$I$366,4, FALSE)="--&gt; Yes","Y",IF(AND(VLOOKUP(CONCATENATE(F31," – ",G31), 'Project Checklist'!$F$28:$I$366, 4, FALSE)="--&gt; n/a",E31="P"),"n/a","")))</f>
        <v/>
      </c>
      <c r="C31" s="24" t="str">
        <f ca="1">IF(E31="n/a","",IF(VLOOKUP(CONCATENATE(F31," – ",G31), 'Project Checklist'!$F$28:$I$366, 4, FALSE)="--&gt; Maybe","?",""))</f>
        <v/>
      </c>
      <c r="D31" s="25" t="str">
        <f ca="1">IF(E31="n/a","",IF(VLOOKUP(CONCATENATE(F31," – ",G31), 'Project Checklist'!$F$28:$I$366, 4, FALSE)="--&gt; No","N",""))</f>
        <v/>
      </c>
      <c r="E31" s="26" t="str">
        <f t="shared" si="6"/>
        <v>O</v>
      </c>
      <c r="F31" s="30" t="str">
        <f>Admin!A20</f>
        <v>FAC</v>
      </c>
      <c r="G31" s="51" t="str">
        <f>Admin!B20</f>
        <v>Sanitary Facilities Provision</v>
      </c>
      <c r="H31" s="31"/>
      <c r="I31" s="32"/>
      <c r="J31" s="12"/>
      <c r="K31" s="23" t="str">
        <f ca="1">IF(N31="n/a","",IF(VLOOKUP(CONCATENATE(O31," – ",P31),'Project Checklist'!$F$28:$I$366,4, FALSE)="--&gt; Yes","Y",IF(AND(VLOOKUP(CONCATENATE(O31," – ",P31), 'Project Checklist'!$F$28:$I$366, 4, FALSE)="--&gt; n/a",N31="P"),"n/a","")))</f>
        <v/>
      </c>
      <c r="L31" s="24" t="str">
        <f ca="1">IF(N31="n/a","",IF(VLOOKUP(CONCATENATE(O31," – ",P31), 'Project Checklist'!$F$28:$I$366, 4, FALSE)="--&gt; Maybe","?",""))</f>
        <v/>
      </c>
      <c r="M31" s="25" t="str">
        <f ca="1">IF(N31="n/a","",IF(VLOOKUP(CONCATENATE(O31," – ",P31), 'Project Checklist'!$F$28:$I$366, 4, FALSE)="--&gt; No","N",""))</f>
        <v/>
      </c>
      <c r="N31" s="26" t="str">
        <f t="shared" si="5"/>
        <v>O</v>
      </c>
      <c r="O31" s="30" t="str">
        <f>Admin!A52</f>
        <v>CYS</v>
      </c>
      <c r="P31" s="28" t="str">
        <f>Admin!B52</f>
        <v>Enhanced Cyclist Environments</v>
      </c>
      <c r="Q31" s="29"/>
      <c r="R31" s="34"/>
      <c r="S31" s="12"/>
      <c r="T31" s="20" t="s">
        <v>10</v>
      </c>
      <c r="U31" s="20" t="s">
        <v>12</v>
      </c>
      <c r="V31" s="20" t="s">
        <v>13</v>
      </c>
      <c r="W31" s="21"/>
      <c r="X31" s="21"/>
      <c r="Y31" s="21"/>
      <c r="Z31" s="21"/>
      <c r="AA31" s="21"/>
      <c r="AB31" s="14"/>
      <c r="AH31" s="30"/>
      <c r="AI31" s="28"/>
    </row>
    <row r="32" spans="1:37" ht="14.25" customHeight="1">
      <c r="A32" s="8"/>
      <c r="B32" s="23" t="str">
        <f ca="1">IF(E32="n/a","",IF(VLOOKUP(CONCATENATE(F32," – ",G32),'Project Checklist'!$F$28:$I$366,4, FALSE)="--&gt; Yes","Y",IF(AND(VLOOKUP(CONCATENATE(F32," – ",G32), 'Project Checklist'!$F$28:$I$366, 4, FALSE)="--&gt; n/a",E32="P"),"n/a","")))</f>
        <v/>
      </c>
      <c r="C32" s="24" t="str">
        <f ca="1">IF(E32="n/a","",IF(VLOOKUP(CONCATENATE(F32," – ",G32), 'Project Checklist'!$F$28:$I$366, 4, FALSE)="--&gt; Maybe","?",""))</f>
        <v/>
      </c>
      <c r="D32" s="25" t="str">
        <f ca="1">IF(E32="n/a","",IF(VLOOKUP(CONCATENATE(F32," – ",G32), 'Project Checklist'!$F$28:$I$366, 4, FALSE)="--&gt; No","N",""))</f>
        <v/>
      </c>
      <c r="E32" s="26" t="str">
        <f t="shared" si="6"/>
        <v>O</v>
      </c>
      <c r="F32" s="30" t="str">
        <f>Admin!A21</f>
        <v>WFS</v>
      </c>
      <c r="G32" s="51" t="str">
        <f>Admin!B21</f>
        <v>Water Feature Sanitation</v>
      </c>
      <c r="H32" s="31"/>
      <c r="I32" s="32"/>
      <c r="J32" s="12"/>
      <c r="K32" s="23" t="str">
        <f ca="1">IF(N32="n/a","",IF(VLOOKUP(CONCATENATE(O32," – ",P32),'Project Checklist'!$F$28:$I$366,4, FALSE)="--&gt; Yes","Y",IF(AND(VLOOKUP(CONCATENATE(O32," – ",P32), 'Project Checklist'!$F$28:$I$366, 4, FALSE)="--&gt; n/a",N32="P"),"n/a","")))</f>
        <v/>
      </c>
      <c r="L32" s="24" t="str">
        <f ca="1">IF(N32="n/a","",IF(VLOOKUP(CONCATENATE(O32," – ",P32), 'Project Checklist'!$F$28:$I$366, 4, FALSE)="--&gt; Maybe","?",""))</f>
        <v/>
      </c>
      <c r="M32" s="25" t="str">
        <f ca="1">IF(N32="n/a","",IF(VLOOKUP(CONCATENATE(O32," – ",P32), 'Project Checklist'!$F$28:$I$366, 4, FALSE)="--&gt; No","N",""))</f>
        <v/>
      </c>
      <c r="N32" s="26" t="str">
        <f t="shared" si="5"/>
        <v>O</v>
      </c>
      <c r="O32" s="30" t="str">
        <f>Admin!A53</f>
        <v>BSH</v>
      </c>
      <c r="P32" s="28" t="str">
        <f>Admin!B53</f>
        <v>Community Bicycle Share</v>
      </c>
      <c r="Q32" s="12"/>
      <c r="R32" s="12"/>
      <c r="S32" s="12"/>
      <c r="T32" s="23" t="str">
        <f ca="1">IF(W32="n/a","",IF(VLOOKUP(CONCATENATE(X32," – ",Y32),'Project Checklist'!$F$28:$I$366,4, FALSE)="--&gt; Yes","Y",IF(AND(VLOOKUP(CONCATENATE(X32," – ",Y32), 'Project Checklist'!$F$28:$I$366, 4, FALSE)="--&gt; n/a",W32="P"),"n/a","")))</f>
        <v/>
      </c>
      <c r="U32" s="24" t="str">
        <f ca="1">IF(W32="n/a","",IF(VLOOKUP(CONCATENATE(X32," – ",Y32), 'Project Checklist'!$F$28:$I$366, 4, FALSE)="--&gt; Maybe","?",""))</f>
        <v/>
      </c>
      <c r="V32" s="25" t="str">
        <f ca="1">IF(W32="n/a","",IF(VLOOKUP(CONCATENATE(X32," – ",Y32), 'Project Checklist'!$F$28:$I$366, 4, FALSE)="--&gt; No","N",""))</f>
        <v/>
      </c>
      <c r="W32" s="26" t="str">
        <f t="shared" ref="W32:W44" si="7">VLOOKUP(X32,TblCredit,IF(ctrlTypo="Community",4,IF(ctrlTypo="NEI",5,6)),FALSE)</f>
        <v>P</v>
      </c>
      <c r="X32" s="57" t="str">
        <f>Admin!A82</f>
        <v>AMH</v>
      </c>
      <c r="Y32" s="58" t="str">
        <f>Admin!B82</f>
        <v>Access to Mental Health Services</v>
      </c>
      <c r="Z32" s="31"/>
      <c r="AA32" s="31"/>
      <c r="AB32" s="14"/>
      <c r="AD32" s="225" t="s">
        <v>705</v>
      </c>
      <c r="AE32" s="226"/>
      <c r="AF32" s="226"/>
      <c r="AG32" s="226"/>
      <c r="AH32" s="226"/>
      <c r="AI32" s="226"/>
      <c r="AJ32" s="226"/>
      <c r="AK32" s="227"/>
    </row>
    <row r="33" spans="1:38" ht="14.25" customHeight="1">
      <c r="A33" s="8"/>
      <c r="B33" s="23" t="str">
        <f ca="1">IF(E33="n/a","",IF(VLOOKUP(CONCATENATE(F33," – ",G33),'Project Checklist'!$F$28:$I$366,4, FALSE)="--&gt; Yes","Y",IF(AND(VLOOKUP(CONCATENATE(F33," – ",G33), 'Project Checklist'!$F$28:$I$366, 4, FALSE)="--&gt; n/a",E33="P"),"n/a","")))</f>
        <v/>
      </c>
      <c r="C33" s="24" t="str">
        <f ca="1">IF(E33="n/a","",IF(VLOOKUP(CONCATENATE(F33," – ",G33), 'Project Checklist'!$F$28:$I$366, 4, FALSE)="--&gt; Maybe","?",""))</f>
        <v/>
      </c>
      <c r="D33" s="25" t="str">
        <f ca="1">IF(E33="n/a","",IF(VLOOKUP(CONCATENATE(F33," – ",G33), 'Project Checklist'!$F$28:$I$366, 4, FALSE)="--&gt; No","N",""))</f>
        <v/>
      </c>
      <c r="E33" s="26" t="str">
        <f t="shared" si="6"/>
        <v>O</v>
      </c>
      <c r="F33" s="30" t="str">
        <f>Admin!A22</f>
        <v>LEG</v>
      </c>
      <c r="G33" s="51" t="str">
        <f>Admin!B22</f>
        <v>Legionella Control</v>
      </c>
      <c r="H33" s="31"/>
      <c r="I33" s="32"/>
      <c r="J33" s="12"/>
      <c r="K33" s="23" t="str">
        <f ca="1">IF(N33="n/a","",IF(VLOOKUP(CONCATENATE(O33," – ",P33),'Project Checklist'!$F$28:$I$366,4, FALSE)="--&gt; Yes","Y",IF(AND(VLOOKUP(CONCATENATE(O33," – ",P33), 'Project Checklist'!$F$28:$I$366, 4, FALSE)="--&gt; n/a",N33="P"),"n/a","")))</f>
        <v/>
      </c>
      <c r="L33" s="24" t="str">
        <f ca="1">IF(N33="n/a","",IF(VLOOKUP(CONCATENATE(O33," – ",P33), 'Project Checklist'!$F$28:$I$366, 4, FALSE)="--&gt; Maybe","?",""))</f>
        <v/>
      </c>
      <c r="M33" s="25" t="str">
        <f ca="1">IF(N33="n/a","",IF(VLOOKUP(CONCATENATE(O33," – ",P33), 'Project Checklist'!$F$28:$I$366, 4, FALSE)="--&gt; No","N",""))</f>
        <v/>
      </c>
      <c r="N33" s="26" t="str">
        <f t="shared" si="5"/>
        <v>O</v>
      </c>
      <c r="O33" s="30" t="str">
        <f>Admin!A54</f>
        <v>TRA</v>
      </c>
      <c r="P33" s="28" t="str">
        <f>Admin!B54</f>
        <v>Mass Transit Infrastructure</v>
      </c>
      <c r="S33" s="12"/>
      <c r="T33" s="23" t="str">
        <f ca="1">IF(W33="n/a","",IF(VLOOKUP(CONCATENATE(X33," – ",Y33),'Project Checklist'!$F$28:$I$366,4, FALSE)="--&gt; Yes","Y",IF(AND(VLOOKUP(CONCATENATE(X33," – ",Y33), 'Project Checklist'!$F$28:$I$366, 4, FALSE)="--&gt; n/a",W33="P"),"n/a","")))</f>
        <v/>
      </c>
      <c r="U33" s="24" t="str">
        <f ca="1">IF(W33="n/a","",IF(VLOOKUP(CONCATENATE(X33," – ",Y33), 'Project Checklist'!$F$28:$I$366, 4, FALSE)="--&gt; Maybe","?",""))</f>
        <v/>
      </c>
      <c r="V33" s="25" t="str">
        <f ca="1">IF(W33="n/a","",IF(VLOOKUP(CONCATENATE(X33," – ",Y33), 'Project Checklist'!$F$28:$I$366, 4, FALSE)="--&gt; No","N",""))</f>
        <v/>
      </c>
      <c r="W33" s="26" t="str">
        <f t="shared" si="7"/>
        <v>O</v>
      </c>
      <c r="X33" s="57" t="str">
        <f>Admin!A83</f>
        <v>CRI</v>
      </c>
      <c r="Y33" s="58" t="str">
        <f>Admin!B83</f>
        <v>Mental Health Crisis Support</v>
      </c>
      <c r="Z33" s="31"/>
      <c r="AA33" s="31"/>
      <c r="AB33" s="14"/>
      <c r="AD33" s="20" t="s">
        <v>10</v>
      </c>
      <c r="AE33" s="20" t="s">
        <v>12</v>
      </c>
      <c r="AF33" s="20" t="s">
        <v>13</v>
      </c>
      <c r="AG33" s="21"/>
      <c r="AH33" s="21"/>
      <c r="AI33" s="21"/>
      <c r="AJ33" s="21"/>
      <c r="AK33" s="21"/>
    </row>
    <row r="34" spans="1:38" ht="14.25" customHeight="1">
      <c r="A34" s="8"/>
      <c r="B34" s="23" t="str">
        <f ca="1">IF(E34="n/a","",IF(VLOOKUP(CONCATENATE(F34," – ",G34),'Project Checklist'!$F$28:$I$366,4, FALSE)="--&gt; Yes","Y",IF(AND(VLOOKUP(CONCATENATE(F34," – ",G34), 'Project Checklist'!$F$28:$I$366, 4, FALSE)="--&gt; n/a",E34="P"),"n/a","")))</f>
        <v/>
      </c>
      <c r="C34" s="24" t="str">
        <f ca="1">IF(E34="n/a","",IF(VLOOKUP(CONCATENATE(F34," – ",G34), 'Project Checklist'!$F$28:$I$366, 4, FALSE)="--&gt; Maybe","?",""))</f>
        <v/>
      </c>
      <c r="D34" s="25" t="str">
        <f ca="1">IF(E34="n/a","",IF(VLOOKUP(CONCATENATE(F34," – ",G34), 'Project Checklist'!$F$28:$I$366, 4, FALSE)="--&gt; No","N",""))</f>
        <v/>
      </c>
      <c r="E34" s="26" t="str">
        <f t="shared" si="6"/>
        <v>O</v>
      </c>
      <c r="F34" s="30" t="str">
        <f>Admin!A23</f>
        <v>SWA</v>
      </c>
      <c r="G34" s="51" t="str">
        <f>Admin!B23</f>
        <v>Stormwater Management</v>
      </c>
      <c r="H34" s="31"/>
      <c r="I34" s="32"/>
      <c r="J34" s="12"/>
      <c r="K34" s="23" t="str">
        <f ca="1">IF(N34="n/a","",IF(VLOOKUP(CONCATENATE(O34," – ",P34),'Project Checklist'!$F$28:$I$366,4, FALSE)="--&gt; Yes","Y",IF(AND(VLOOKUP(CONCATENATE(O34," – ",P34), 'Project Checklist'!$F$28:$I$366, 4, FALSE)="--&gt; n/a",N34="P"),"n/a","")))</f>
        <v/>
      </c>
      <c r="L34" s="24" t="str">
        <f ca="1">IF(N34="n/a","",IF(VLOOKUP(CONCATENATE(O34," – ",P34), 'Project Checklist'!$F$28:$I$366, 4, FALSE)="--&gt; Maybe","?",""))</f>
        <v/>
      </c>
      <c r="M34" s="25" t="str">
        <f ca="1">IF(N34="n/a","",IF(VLOOKUP(CONCATENATE(O34," – ",P34), 'Project Checklist'!$F$28:$I$366, 4, FALSE)="--&gt; No","N",""))</f>
        <v/>
      </c>
      <c r="N34" s="26" t="str">
        <f t="shared" si="5"/>
        <v>O</v>
      </c>
      <c r="O34" s="30" t="str">
        <f>Admin!A55</f>
        <v>TRN</v>
      </c>
      <c r="P34" s="28" t="str">
        <f>Admin!B55</f>
        <v>Mass Transit Support</v>
      </c>
      <c r="S34" s="12"/>
      <c r="T34" s="23" t="str">
        <f ca="1">IF(W34="n/a","",IF(VLOOKUP(CONCATENATE(X34," – ",Y34),'Project Checklist'!$F$28:$I$366,4, FALSE)="--&gt; Yes","Y",IF(AND(VLOOKUP(CONCATENATE(X34," – ",Y34), 'Project Checklist'!$F$28:$I$366, 4, FALSE)="--&gt; n/a",W34="P"),"n/a","")))</f>
        <v/>
      </c>
      <c r="U34" s="24" t="str">
        <f ca="1">IF(W34="n/a","",IF(VLOOKUP(CONCATENATE(X34," – ",Y34), 'Project Checklist'!$F$28:$I$366, 4, FALSE)="--&gt; Maybe","?",""))</f>
        <v/>
      </c>
      <c r="V34" s="25" t="str">
        <f ca="1">IF(W34="n/a","",IF(VLOOKUP(CONCATENATE(X34," – ",Y34), 'Project Checklist'!$F$28:$I$366, 4, FALSE)="--&gt; No","N",""))</f>
        <v/>
      </c>
      <c r="W34" s="26" t="str">
        <f t="shared" si="7"/>
        <v>O</v>
      </c>
      <c r="X34" s="57" t="str">
        <f>Admin!A84</f>
        <v>ABU</v>
      </c>
      <c r="Y34" s="58" t="str">
        <f>Admin!B84</f>
        <v>Substance Abuse and Addiction Services</v>
      </c>
      <c r="Z34" s="31"/>
      <c r="AA34" s="31"/>
      <c r="AB34" s="14"/>
      <c r="AD34" s="23" t="str">
        <f ca="1">IF(LEFT('Project Checklist'!I358,7)="--&gt; Yes",10,"")</f>
        <v/>
      </c>
      <c r="AE34" s="24" t="str">
        <f ca="1">IF(LEFT('Project Checklist'!I358,9)="--&gt; Maybe",10,"")</f>
        <v/>
      </c>
      <c r="AF34" s="25" t="str">
        <f ca="1">IF(AG34="n/a","",IF(VLOOKUP(CONCATENATE(AH34," – ",AI34), 'Project Checklist'!$F$28:$I$366, 4, FALSE)="--&gt; No","N",""))</f>
        <v/>
      </c>
      <c r="AG34" s="26" t="str">
        <f>VLOOKUP(AH34,TblCredit,IF(ctrlTypo="Community",4,IF(ctrlTypo="NEI",5,6)),FALSE)</f>
        <v>O</v>
      </c>
      <c r="AH34" s="30" t="str">
        <f>Admin!A114</f>
        <v>GND</v>
      </c>
      <c r="AI34" s="28" t="str">
        <f>Admin!B114</f>
        <v xml:space="preserve">Green Rating Systems </v>
      </c>
      <c r="AJ34" s="31"/>
      <c r="AK34" s="31"/>
    </row>
    <row r="35" spans="1:38" ht="14.25" customHeight="1">
      <c r="A35" s="8"/>
      <c r="B35" s="23" t="str">
        <f ca="1">IF(E35="n/a","",IF(VLOOKUP(CONCATENATE(F35," – ",G35),'Project Checklist'!$F$28:$I$366,4, FALSE)="--&gt; Yes","Y",IF(AND(VLOOKUP(CONCATENATE(F35," – ",G35), 'Project Checklist'!$F$28:$I$366, 4, FALSE)="--&gt; n/a",E35="P"),"n/a","")))</f>
        <v/>
      </c>
      <c r="C35" s="24" t="str">
        <f ca="1">IF(E35="n/a","",IF(VLOOKUP(CONCATENATE(F35," – ",G35), 'Project Checklist'!$F$28:$I$366, 4, FALSE)="--&gt; Maybe","?",""))</f>
        <v/>
      </c>
      <c r="D35" s="25" t="str">
        <f ca="1">IF(E35="n/a","",IF(VLOOKUP(CONCATENATE(F35," – ",G35), 'Project Checklist'!$F$28:$I$366, 4, FALSE)="--&gt; No","N",""))</f>
        <v/>
      </c>
      <c r="E35" s="26" t="str">
        <f t="shared" si="6"/>
        <v>O</v>
      </c>
      <c r="F35" s="30" t="str">
        <f>Admin!A24</f>
        <v>OVF</v>
      </c>
      <c r="G35" s="51" t="str">
        <f>Admin!B24</f>
        <v>Overflow Water Management</v>
      </c>
      <c r="H35" s="31"/>
      <c r="I35" s="32"/>
      <c r="J35" s="12"/>
      <c r="K35" s="23" t="str">
        <f ca="1">IF(N35="n/a","",IF(VLOOKUP(CONCATENATE(O35," – ",P35),'Project Checklist'!$F$28:$I$366,4, FALSE)="--&gt; Yes","Y",IF(AND(VLOOKUP(CONCATENATE(O35," – ",P35), 'Project Checklist'!$F$28:$I$366, 4, FALSE)="--&gt; n/a",N35="P"),"n/a","")))</f>
        <v/>
      </c>
      <c r="L35" s="24" t="str">
        <f ca="1">IF(N35="n/a","",IF(VLOOKUP(CONCATENATE(O35," – ",P35), 'Project Checklist'!$F$28:$I$366, 4, FALSE)="--&gt; Maybe","?",""))</f>
        <v/>
      </c>
      <c r="M35" s="25" t="str">
        <f ca="1">IF(N35="n/a","",IF(VLOOKUP(CONCATENATE(O35," – ",P35), 'Project Checklist'!$F$28:$I$366, 4, FALSE)="--&gt; No","N",""))</f>
        <v/>
      </c>
      <c r="N35" s="26" t="str">
        <f t="shared" si="5"/>
        <v>O</v>
      </c>
      <c r="O35" s="30" t="str">
        <f>Admin!A56</f>
        <v>WAY</v>
      </c>
      <c r="P35" s="28" t="str">
        <f>Admin!B56</f>
        <v>Community Wayfinding</v>
      </c>
      <c r="Q35" s="12"/>
      <c r="R35" s="12"/>
      <c r="S35" s="12"/>
      <c r="T35" s="23" t="str">
        <f ca="1">IF(W35="n/a","",IF(VLOOKUP(CONCATENATE(X35," – ",Y35),'Project Checklist'!$F$28:$I$366,4, FALSE)="--&gt; Yes","Y",IF(AND(VLOOKUP(CONCATENATE(X35," – ",Y35), 'Project Checklist'!$F$28:$I$366, 4, FALSE)="--&gt; n/a",W35="P"),"n/a","")))</f>
        <v/>
      </c>
      <c r="U35" s="24" t="str">
        <f ca="1">IF(W35="n/a","",IF(VLOOKUP(CONCATENATE(X35," – ",Y35), 'Project Checklist'!$F$28:$I$366, 4, FALSE)="--&gt; Maybe","?",""))</f>
        <v/>
      </c>
      <c r="V35" s="25" t="str">
        <f ca="1">IF(W35="n/a","",IF(VLOOKUP(CONCATENATE(X35," – ",Y35), 'Project Checklist'!$F$28:$I$366, 4, FALSE)="--&gt; No","N",""))</f>
        <v/>
      </c>
      <c r="W35" s="26" t="str">
        <f t="shared" si="7"/>
        <v>O</v>
      </c>
      <c r="X35" s="57" t="str">
        <f>Admin!A85</f>
        <v>ARK</v>
      </c>
      <c r="Y35" s="59" t="str">
        <f>Admin!B85</f>
        <v>Substance Abuse and Addiction Services for At-Risk Populations</v>
      </c>
      <c r="Z35" s="31"/>
      <c r="AA35" s="31"/>
      <c r="AB35" s="14"/>
      <c r="AD35" s="23" t="str">
        <f ca="1">IF(LEFT('Project Checklist'!I360,7)="--&gt; Yes",'Project Checklist'!J361,"")</f>
        <v/>
      </c>
      <c r="AE35" s="23" t="str">
        <f ca="1">IF('Project Checklist'!I360="--&gt; Maybe",'Project Checklist'!J361,"")</f>
        <v/>
      </c>
      <c r="AF35" s="25" t="str">
        <f ca="1">IF(AG35="n/a","",IF(VLOOKUP(CONCATENATE(AH35," – ",AI35, "(enter number of proposals in Notes column)"), 'Project Checklist'!$F$28:$I$366, 4, FALSE)="--&gt; No","N",""))</f>
        <v/>
      </c>
      <c r="AG35" s="26" t="str">
        <f>VLOOKUP(AH35,TblCredit,IF(ctrlTypo="Community",4,IF(ctrlTypo="NEI",5,6)),FALSE)</f>
        <v>O</v>
      </c>
      <c r="AH35" s="30" t="str">
        <f>Admin!A115</f>
        <v>INP</v>
      </c>
      <c r="AI35" s="28" t="str">
        <f>Admin!B115</f>
        <v xml:space="preserve">Planning for Health </v>
      </c>
      <c r="AJ35" s="31"/>
      <c r="AK35" s="31"/>
    </row>
    <row r="36" spans="1:38" ht="14.25" customHeight="1">
      <c r="A36" s="8"/>
      <c r="B36" s="33">
        <f ca="1">COUNTIF(B27:B35,"?*")</f>
        <v>0</v>
      </c>
      <c r="C36" s="33">
        <f ca="1">COUNTIF(C27:C35,"?*")</f>
        <v>0</v>
      </c>
      <c r="D36" s="33">
        <f ca="1">COUNTIF(D27:D35,"?*")</f>
        <v>0</v>
      </c>
      <c r="E36" s="8" t="s">
        <v>766</v>
      </c>
      <c r="F36" s="30"/>
      <c r="G36" s="30"/>
      <c r="H36" s="31"/>
      <c r="I36" s="32"/>
      <c r="J36" s="12"/>
      <c r="K36" s="23" t="str">
        <f ca="1">IF(N36="n/a","",IF(VLOOKUP(CONCATENATE(O36," – ",P36),'Project Checklist'!$F$28:$I$366,4, FALSE)="--&gt; Yes","Y",IF(AND(VLOOKUP(CONCATENATE(O36," – ",P36), 'Project Checklist'!$F$28:$I$366, 4, FALSE)="--&gt; n/a",N36="P"),"n/a","")))</f>
        <v/>
      </c>
      <c r="L36" s="24" t="str">
        <f ca="1">IF(N36="n/a","",IF(VLOOKUP(CONCATENATE(O36," – ",P36), 'Project Checklist'!$F$28:$I$366, 4, FALSE)="--&gt; Maybe","?",""))</f>
        <v/>
      </c>
      <c r="M36" s="25" t="str">
        <f ca="1">IF(N36="n/a","",IF(VLOOKUP(CONCATENATE(O36," – ",P36), 'Project Checklist'!$F$28:$I$366, 4, FALSE)="--&gt; No","N",""))</f>
        <v/>
      </c>
      <c r="N36" s="26" t="str">
        <f t="shared" si="5"/>
        <v>O</v>
      </c>
      <c r="O36" s="30" t="str">
        <f>Admin!A57</f>
        <v>PAS</v>
      </c>
      <c r="P36" s="28" t="str">
        <f>Admin!B57</f>
        <v>Physical Activity Spaces</v>
      </c>
      <c r="Q36" s="12"/>
      <c r="R36" s="12"/>
      <c r="S36" s="12"/>
      <c r="T36" s="23" t="str">
        <f ca="1">IF(W36="n/a","",IF(VLOOKUP(CONCATENATE(X36," – ",Y36),'Project Checklist'!$F$28:$I$366,4, FALSE)="--&gt; Yes","Y",IF(AND(VLOOKUP(CONCATENATE(X36," – ",Y36), 'Project Checklist'!$F$28:$I$366, 4, FALSE)="--&gt; n/a",W36="P"),"n/a","")))</f>
        <v/>
      </c>
      <c r="U36" s="24" t="str">
        <f ca="1">IF(W36="n/a","",IF(VLOOKUP(CONCATENATE(X36," – ",Y36), 'Project Checklist'!$F$28:$I$366, 4, FALSE)="--&gt; Maybe","?",""))</f>
        <v/>
      </c>
      <c r="V36" s="25" t="str">
        <f ca="1">IF(W36="n/a","",IF(VLOOKUP(CONCATENATE(X36," – ",Y36), 'Project Checklist'!$F$28:$I$366, 4, FALSE)="--&gt; No","N",""))</f>
        <v/>
      </c>
      <c r="W36" s="26" t="str">
        <f t="shared" si="7"/>
        <v>O</v>
      </c>
      <c r="X36" s="57" t="str">
        <f>Admin!A86</f>
        <v>ALC</v>
      </c>
      <c r="Y36" s="58" t="str">
        <f>Admin!B86</f>
        <v>Alcohol Environment</v>
      </c>
      <c r="Z36" s="31"/>
      <c r="AA36" s="31"/>
      <c r="AB36" s="14"/>
      <c r="AD36" s="23" t="str">
        <f ca="1">IF(LEFT('Project Checklist'!I362,7)="--&gt; Yes",'Project Checklist'!J363,"")</f>
        <v/>
      </c>
      <c r="AE36" s="24" t="str">
        <f ca="1">IF(LEFT('Project Checklist'!I362,9)="--&gt; Maybe",'Project Checklist'!J363,"")</f>
        <v/>
      </c>
      <c r="AF36" s="25" t="str">
        <f ca="1">IF(AG36="n/a","",IF(VLOOKUP(CONCATENATE(AH36," – ",AI36, " (enter number of proposals in Notes column)"), 'Project Checklist'!$F$28:$I$366, 4, FALSE)="--&gt; No","N",""))</f>
        <v/>
      </c>
      <c r="AG36" s="26" t="str">
        <f>VLOOKUP(AH36,TblCredit,IF(ctrlTypo="Community",4,IF(ctrlTypo="NEI",5,6)),FALSE)</f>
        <v>O</v>
      </c>
      <c r="AH36" s="30" t="str">
        <f>Admin!A116</f>
        <v>INV</v>
      </c>
      <c r="AI36" s="28" t="str">
        <f>Admin!B116</f>
        <v>Innovate WELL</v>
      </c>
      <c r="AJ36" s="31"/>
      <c r="AK36" s="31"/>
      <c r="AL36" s="31"/>
    </row>
    <row r="37" spans="1:38" ht="14.25" customHeight="1">
      <c r="A37" s="8"/>
      <c r="B37" s="30"/>
      <c r="C37" s="30"/>
      <c r="D37" s="30"/>
      <c r="E37" s="30"/>
      <c r="F37" s="30"/>
      <c r="G37" s="30"/>
      <c r="H37" s="31"/>
      <c r="I37" s="32"/>
      <c r="J37" s="12"/>
      <c r="K37" s="23" t="str">
        <f ca="1">IF(N37="n/a","",IF(VLOOKUP(CONCATENATE(O37," – ",P37),'Project Checklist'!$F$28:$I$366,4, FALSE)="--&gt; Yes","Y",IF(AND(VLOOKUP(CONCATENATE(O37," – ",P37), 'Project Checklist'!$F$28:$I$366, 4, FALSE)="--&gt; n/a",N37="P"),"n/a","")))</f>
        <v/>
      </c>
      <c r="L37" s="24" t="str">
        <f ca="1">IF(N37="n/a","",IF(VLOOKUP(CONCATENATE(O37," – ",P37), 'Project Checklist'!$F$28:$I$366, 4, FALSE)="--&gt; Maybe","?",""))</f>
        <v/>
      </c>
      <c r="M37" s="25" t="str">
        <f ca="1">IF(N37="n/a","",IF(VLOOKUP(CONCATENATE(O37," – ",P37), 'Project Checklist'!$F$28:$I$366, 4, FALSE)="--&gt; No","N",""))</f>
        <v/>
      </c>
      <c r="N37" s="26" t="str">
        <f t="shared" si="5"/>
        <v>O</v>
      </c>
      <c r="O37" s="30" t="str">
        <f>Admin!A58</f>
        <v>PRG</v>
      </c>
      <c r="P37" s="28" t="str">
        <f>Admin!B58</f>
        <v>Activity Programming</v>
      </c>
      <c r="Q37" s="12"/>
      <c r="R37" s="12"/>
      <c r="S37" s="12"/>
      <c r="T37" s="23" t="str">
        <f ca="1">IF(W37="n/a","",IF(VLOOKUP(CONCATENATE(X37," – ",Y37),'Project Checklist'!$F$28:$I$366,4, FALSE)="--&gt; Yes","Y",IF(AND(VLOOKUP(CONCATENATE(X37," – ",Y37), 'Project Checklist'!$F$28:$I$366, 4, FALSE)="--&gt; n/a",W37="P"),"n/a","")))</f>
        <v/>
      </c>
      <c r="U37" s="24" t="str">
        <f ca="1">IF(W37="n/a","",IF(VLOOKUP(CONCATENATE(X37," – ",Y37), 'Project Checklist'!$F$28:$I$366, 4, FALSE)="--&gt; Maybe","?",""))</f>
        <v/>
      </c>
      <c r="V37" s="25" t="str">
        <f ca="1">IF(W37="n/a","",IF(VLOOKUP(CONCATENATE(X37," – ",Y37), 'Project Checklist'!$F$28:$I$366, 4, FALSE)="--&gt; No","N",""))</f>
        <v/>
      </c>
      <c r="W37" s="26" t="str">
        <f t="shared" si="7"/>
        <v>O</v>
      </c>
      <c r="X37" s="57" t="str">
        <f>Admin!A87</f>
        <v>RDR</v>
      </c>
      <c r="Y37" s="58" t="str">
        <f>Admin!B87</f>
        <v>Responsible Driving</v>
      </c>
      <c r="Z37" s="31"/>
      <c r="AA37" s="31"/>
      <c r="AB37" s="14"/>
      <c r="AD37" s="23" t="str">
        <f ca="1">IF(LEFT('Project Checklist'!I365,7)="--&gt; Yes",1,"")</f>
        <v/>
      </c>
      <c r="AE37" s="24" t="str">
        <f ca="1">IF('Project Checklist'!I365="--&gt; Maybe",1,"")</f>
        <v/>
      </c>
      <c r="AF37" s="25" t="str">
        <f ca="1">IF(AG37="n/a","",IF(VLOOKUP(CONCATENATE(AH37," – ",AI37), 'Project Checklist'!$F$28:$I$366, 4, FALSE)="--&gt; No","N",""))</f>
        <v/>
      </c>
      <c r="AG37" s="26" t="str">
        <f>VLOOKUP(AH37,TblCredit,IF(ctrlTypo="Community",4,IF(ctrlTypo="NEI",5,6)),FALSE)</f>
        <v>O</v>
      </c>
      <c r="AH37" s="30" t="str">
        <f>Admin!A117</f>
        <v>WLP</v>
      </c>
      <c r="AI37" s="28" t="str">
        <f>Admin!B117</f>
        <v xml:space="preserve">WELL Accredited Professional </v>
      </c>
      <c r="AJ37" s="31"/>
      <c r="AK37" s="31"/>
    </row>
    <row r="38" spans="1:38" ht="14.25" customHeight="1">
      <c r="A38" s="8"/>
      <c r="B38" s="237" t="s">
        <v>2</v>
      </c>
      <c r="C38" s="238"/>
      <c r="D38" s="238"/>
      <c r="E38" s="238"/>
      <c r="F38" s="238"/>
      <c r="G38" s="238"/>
      <c r="H38" s="238"/>
      <c r="I38" s="239"/>
      <c r="J38" s="12"/>
      <c r="K38" s="23" t="str">
        <f ca="1">IF(N38="n/a","",IF(VLOOKUP(CONCATENATE(O38," – ",P38),'Project Checklist'!$F$28:$I$366,4, FALSE)="--&gt; Yes","Y",IF(AND(VLOOKUP(CONCATENATE(O38," – ",P38), 'Project Checklist'!$F$28:$I$366, 4, FALSE)="--&gt; n/a",N38="P"),"n/a","")))</f>
        <v/>
      </c>
      <c r="L38" s="24" t="str">
        <f ca="1">IF(N38="n/a","",IF(VLOOKUP(CONCATENATE(O38," – ",P38), 'Project Checklist'!$F$28:$I$366, 4, FALSE)="--&gt; Maybe","?",""))</f>
        <v/>
      </c>
      <c r="M38" s="25" t="str">
        <f ca="1">IF(N38="n/a","",IF(VLOOKUP(CONCATENATE(O38," – ",P38), 'Project Checklist'!$F$28:$I$366, 4, FALSE)="--&gt; No","N",""))</f>
        <v/>
      </c>
      <c r="N38" s="26" t="str">
        <f t="shared" si="5"/>
        <v>O</v>
      </c>
      <c r="O38" s="30" t="str">
        <f>Admin!A59</f>
        <v>PET</v>
      </c>
      <c r="P38" s="28" t="str">
        <f>Admin!B59</f>
        <v>Pet Support</v>
      </c>
      <c r="Q38" s="12"/>
      <c r="R38" s="12"/>
      <c r="S38" s="12"/>
      <c r="T38" s="23" t="str">
        <f ca="1">IF(W38="n/a","",IF(VLOOKUP(CONCATENATE(X38," – ",Y38),'Project Checklist'!$F$28:$I$366,4, FALSE)="--&gt; Yes","Y",IF(AND(VLOOKUP(CONCATENATE(X38," – ",Y38), 'Project Checklist'!$F$28:$I$366, 4, FALSE)="--&gt; n/a",W38="P"),"n/a","")))</f>
        <v/>
      </c>
      <c r="U38" s="24" t="str">
        <f ca="1">IF(W38="n/a","",IF(VLOOKUP(CONCATENATE(X38," – ",Y38), 'Project Checklist'!$F$28:$I$366, 4, FALSE)="--&gt; Maybe","?",""))</f>
        <v/>
      </c>
      <c r="V38" s="25" t="str">
        <f ca="1">IF(W38="n/a","",IF(VLOOKUP(CONCATENATE(X38," – ",Y38), 'Project Checklist'!$F$28:$I$366, 4, FALSE)="--&gt; No","N",""))</f>
        <v/>
      </c>
      <c r="W38" s="26" t="str">
        <f t="shared" si="7"/>
        <v>O</v>
      </c>
      <c r="X38" s="57" t="str">
        <f>Admin!A88</f>
        <v>IPV</v>
      </c>
      <c r="Y38" s="58" t="str">
        <f>Admin!B88</f>
        <v>Support for Victims of Interpersonal Violence</v>
      </c>
      <c r="Z38" s="31"/>
      <c r="AA38" s="31"/>
      <c r="AB38" s="14"/>
      <c r="AD38" s="33">
        <f ca="1">MIN(10,SUM(listYInnovation))</f>
        <v>0</v>
      </c>
      <c r="AE38" s="33">
        <f ca="1">MIN(10,SUM(listQInnovation))</f>
        <v>0</v>
      </c>
      <c r="AF38" s="33">
        <f t="shared" ref="AF38" ca="1" si="8">COUNTIF(AF34:AF37,"?*")</f>
        <v>0</v>
      </c>
      <c r="AG38" s="8" t="s">
        <v>766</v>
      </c>
      <c r="AH38" s="30"/>
      <c r="AI38" s="28"/>
      <c r="AJ38" s="31"/>
      <c r="AK38" s="31"/>
    </row>
    <row r="39" spans="1:38" ht="14.25" customHeight="1">
      <c r="A39" s="8"/>
      <c r="B39" s="22" t="s">
        <v>10</v>
      </c>
      <c r="C39" s="22" t="s">
        <v>12</v>
      </c>
      <c r="D39" s="22" t="s">
        <v>13</v>
      </c>
      <c r="E39" s="21"/>
      <c r="F39" s="21"/>
      <c r="G39" s="21"/>
      <c r="H39" s="21"/>
      <c r="I39" s="21"/>
      <c r="J39" s="12"/>
      <c r="K39" s="33">
        <f ca="1">COUNTIF(K25:K38,"?*")</f>
        <v>0</v>
      </c>
      <c r="L39" s="33">
        <f ca="1">COUNTIF(L25:L38,"?*")</f>
        <v>0</v>
      </c>
      <c r="M39" s="33">
        <f ca="1">COUNTIF(M25:M38,"?*")</f>
        <v>0</v>
      </c>
      <c r="N39" s="8" t="s">
        <v>766</v>
      </c>
      <c r="O39" s="30"/>
      <c r="P39" s="12"/>
      <c r="Q39" s="12"/>
      <c r="R39" s="12"/>
      <c r="S39" s="12"/>
      <c r="T39" s="23" t="str">
        <f ca="1">IF(W39="n/a","",IF(VLOOKUP(CONCATENATE(X39," – ",Y39),'Project Checklist'!$F$28:$I$366,4, FALSE)="--&gt; Yes","Y",IF(AND(VLOOKUP(CONCATENATE(X39," – ",Y39), 'Project Checklist'!$F$28:$I$366, 4, FALSE)="--&gt; n/a",W39="P"),"n/a","")))</f>
        <v/>
      </c>
      <c r="U39" s="24" t="str">
        <f ca="1">IF(W39="n/a","",IF(VLOOKUP(CONCATENATE(X39," – ",Y39), 'Project Checklist'!$F$28:$I$366, 4, FALSE)="--&gt; Maybe","?",""))</f>
        <v/>
      </c>
      <c r="V39" s="25" t="str">
        <f ca="1">IF(W39="n/a","",IF(VLOOKUP(CONCATENATE(X39," – ",Y39), 'Project Checklist'!$F$28:$I$366, 4, FALSE)="--&gt; No","N",""))</f>
        <v/>
      </c>
      <c r="W39" s="26" t="str">
        <f t="shared" si="7"/>
        <v>O</v>
      </c>
      <c r="X39" s="57" t="str">
        <f>Admin!A89</f>
        <v>SGR</v>
      </c>
      <c r="Y39" s="58" t="str">
        <f>Admin!B89</f>
        <v>Integration of Streetscape Greenery</v>
      </c>
      <c r="Z39" s="31"/>
      <c r="AA39" s="31"/>
      <c r="AB39" s="14"/>
      <c r="AD39" s="28"/>
      <c r="AE39" s="28"/>
      <c r="AF39" s="28"/>
      <c r="AG39" s="28"/>
      <c r="AH39" s="30"/>
      <c r="AI39" s="28"/>
      <c r="AJ39" s="31"/>
      <c r="AK39" s="31"/>
    </row>
    <row r="40" spans="1:38" ht="14.25" customHeight="1">
      <c r="A40" s="8"/>
      <c r="B40" s="23" t="str">
        <f ca="1">IF(E40="n/a","",IF(VLOOKUP(CONCATENATE(F40," – ",G40),'Project Checklist'!$F$28:$I$366,4, FALSE)="--&gt; Yes","Y",IF(AND(VLOOKUP(CONCATENATE(F40," – ",G40), 'Project Checklist'!$F$28:$I$366, 4, FALSE)="--&gt; n/a",E40="P"),"n/a","")))</f>
        <v/>
      </c>
      <c r="C40" s="24" t="str">
        <f ca="1">IF(E40="n/a","",IF(VLOOKUP(CONCATENATE(F40," – ",G40), 'Project Checklist'!$F$28:$I$366, 4, FALSE)="--&gt; Maybe","?",""))</f>
        <v/>
      </c>
      <c r="D40" s="25" t="str">
        <f ca="1">IF(E40="n/a","",IF(VLOOKUP(CONCATENATE(F40," – ",G40), 'Project Checklist'!$F$28:$I$366, 4, FALSE)="--&gt; No","N",""))</f>
        <v/>
      </c>
      <c r="E40" s="26" t="str">
        <f t="shared" ref="E40:E50" si="9">VLOOKUP(F40,TblCredit,IF(ctrlTypo="Community",4,IF(ctrlTypo="NEI",5,6)),FALSE)</f>
        <v>P</v>
      </c>
      <c r="F40" s="30" t="str">
        <f>Admin!A25</f>
        <v>SUP</v>
      </c>
      <c r="G40" s="28" t="str">
        <f>Admin!B25</f>
        <v>Supermarket Access</v>
      </c>
      <c r="H40" s="31"/>
      <c r="I40" s="32"/>
      <c r="J40" s="12"/>
      <c r="K40" s="28"/>
      <c r="L40" s="28"/>
      <c r="M40" s="28"/>
      <c r="N40" s="28"/>
      <c r="O40" s="28"/>
      <c r="P40" s="28"/>
      <c r="Q40" s="29"/>
      <c r="R40" s="29"/>
      <c r="S40" s="12"/>
      <c r="T40" s="23" t="str">
        <f ca="1">IF(W40="n/a","",IF(VLOOKUP(CONCATENATE(X40," – ",Y40),'Project Checklist'!$F$28:$I$366,4, FALSE)="--&gt; Yes","Y",IF(AND(VLOOKUP(CONCATENATE(X40," – ",Y40), 'Project Checklist'!$F$28:$I$366, 4, FALSE)="--&gt; n/a",W40="P"),"n/a","")))</f>
        <v/>
      </c>
      <c r="U40" s="24" t="str">
        <f ca="1">IF(W40="n/a","",IF(VLOOKUP(CONCATENATE(X40," – ",Y40), 'Project Checklist'!$F$28:$I$366, 4, FALSE)="--&gt; Maybe","?",""))</f>
        <v/>
      </c>
      <c r="V40" s="25" t="str">
        <f ca="1">IF(W40="n/a","",IF(VLOOKUP(CONCATENATE(X40," – ",Y40), 'Project Checklist'!$F$28:$I$366, 4, FALSE)="--&gt; No","N",""))</f>
        <v/>
      </c>
      <c r="W40" s="26" t="str">
        <f t="shared" si="7"/>
        <v>O</v>
      </c>
      <c r="X40" s="57" t="str">
        <f>Admin!A90</f>
        <v>CHI</v>
      </c>
      <c r="Y40" s="58" t="str">
        <f>Admin!B90</f>
        <v>Outdoor Child Play Spaces</v>
      </c>
      <c r="Z40" s="31"/>
      <c r="AA40" s="31"/>
      <c r="AB40" s="14"/>
      <c r="AD40" s="225" t="s">
        <v>774</v>
      </c>
      <c r="AE40" s="226"/>
      <c r="AF40" s="226"/>
      <c r="AG40" s="226"/>
      <c r="AH40" s="226"/>
      <c r="AI40" s="226"/>
      <c r="AJ40" s="226"/>
      <c r="AK40" s="227"/>
    </row>
    <row r="41" spans="1:38" ht="14.25" customHeight="1">
      <c r="A41" s="8"/>
      <c r="B41" s="23" t="str">
        <f ca="1">IF(E41="n/a","",IF(VLOOKUP(CONCATENATE(F41," – ",G41),'Project Checklist'!$F$28:$I$366,4, FALSE)="--&gt; Yes","Y",IF(AND(VLOOKUP(CONCATENATE(F41," – ",G41), 'Project Checklist'!$F$28:$I$366, 4, FALSE)="--&gt; n/a",E41="P"),"n/a","")))</f>
        <v/>
      </c>
      <c r="C41" s="24" t="str">
        <f ca="1">IF(E41="n/a","",IF(VLOOKUP(CONCATENATE(F41," – ",G41), 'Project Checklist'!$F$28:$I$366, 4, FALSE)="--&gt; Maybe","?",""))</f>
        <v/>
      </c>
      <c r="D41" s="25" t="str">
        <f ca="1">IF(E41="n/a","",IF(VLOOKUP(CONCATENATE(F41," – ",G41), 'Project Checklist'!$F$28:$I$366, 4, FALSE)="--&gt; No","N",""))</f>
        <v/>
      </c>
      <c r="E41" s="26" t="str">
        <f t="shared" si="9"/>
        <v>O</v>
      </c>
      <c r="F41" s="30" t="str">
        <f>Admin!A26</f>
        <v>FRU</v>
      </c>
      <c r="G41" s="28" t="str">
        <f>Admin!B26</f>
        <v>Fruits and Vegetables</v>
      </c>
      <c r="H41" s="31"/>
      <c r="I41" s="32"/>
      <c r="J41" s="12"/>
      <c r="K41" s="252" t="s">
        <v>958</v>
      </c>
      <c r="L41" s="253"/>
      <c r="M41" s="253"/>
      <c r="N41" s="253"/>
      <c r="O41" s="253"/>
      <c r="P41" s="253"/>
      <c r="Q41" s="253"/>
      <c r="R41" s="254"/>
      <c r="S41" s="12"/>
      <c r="T41" s="23" t="str">
        <f ca="1">IF(W41="n/a","",IF(VLOOKUP(CONCATENATE(X41," – ",Y41),'Project Checklist'!$F$28:$I$366,4, FALSE)="--&gt; Yes","Y",IF(AND(VLOOKUP(CONCATENATE(X41," – ",Y41), 'Project Checklist'!$F$28:$I$366, 4, FALSE)="--&gt; n/a",W41="P"),"n/a","")))</f>
        <v/>
      </c>
      <c r="U41" s="24" t="str">
        <f ca="1">IF(W41="n/a","",IF(VLOOKUP(CONCATENATE(X41," – ",Y41), 'Project Checklist'!$F$28:$I$366, 4, FALSE)="--&gt; Maybe","?",""))</f>
        <v/>
      </c>
      <c r="V41" s="25" t="str">
        <f ca="1">IF(W41="n/a","",IF(VLOOKUP(CONCATENATE(X41," – ",Y41), 'Project Checklist'!$F$28:$I$366, 4, FALSE)="--&gt; No","N",""))</f>
        <v/>
      </c>
      <c r="W41" s="26" t="str">
        <f t="shared" si="7"/>
        <v>O</v>
      </c>
      <c r="X41" s="57" t="str">
        <f>Admin!A91</f>
        <v>GRE</v>
      </c>
      <c r="Y41" s="58" t="str">
        <f>Admin!B91</f>
        <v>Restorative Green Spaces</v>
      </c>
      <c r="Z41" s="31"/>
      <c r="AA41" s="31"/>
      <c r="AB41" s="14"/>
      <c r="AD41" s="28"/>
      <c r="AE41" s="28"/>
      <c r="AF41" s="28"/>
      <c r="AG41" s="28"/>
      <c r="AH41" s="30"/>
      <c r="AI41" s="28"/>
      <c r="AJ41" s="31"/>
      <c r="AK41" s="31"/>
    </row>
    <row r="42" spans="1:38" ht="14.25" customHeight="1">
      <c r="A42" s="8"/>
      <c r="B42" s="23" t="str">
        <f ca="1">IF(E42="n/a","",IF(VLOOKUP(CONCATENATE(F42," – ",G42),'Project Checklist'!$F$28:$I$366,4, FALSE)="--&gt; Yes","Y",IF(AND(VLOOKUP(CONCATENATE(F42," – ",G42), 'Project Checklist'!$F$28:$I$366, 4, FALSE)="--&gt; n/a",E42="P"),"n/a","")))</f>
        <v/>
      </c>
      <c r="C42" s="24" t="str">
        <f ca="1">IF(E42="n/a","",IF(VLOOKUP(CONCATENATE(F42," – ",G42), 'Project Checklist'!$F$28:$I$366, 4, FALSE)="--&gt; Maybe","?",""))</f>
        <v/>
      </c>
      <c r="D42" s="25" t="str">
        <f ca="1">IF(E42="n/a","",IF(VLOOKUP(CONCATENATE(F42," – ",G42), 'Project Checklist'!$F$28:$I$366, 4, FALSE)="--&gt; No","N",""))</f>
        <v/>
      </c>
      <c r="E42" s="26" t="str">
        <f t="shared" si="9"/>
        <v>O</v>
      </c>
      <c r="F42" s="30" t="str">
        <f>Admin!A27</f>
        <v>HFO</v>
      </c>
      <c r="G42" s="28" t="str">
        <f>Admin!B27</f>
        <v>Healthy Food Procurement</v>
      </c>
      <c r="H42" s="31"/>
      <c r="I42" s="32"/>
      <c r="J42" s="12"/>
      <c r="K42" s="20" t="s">
        <v>10</v>
      </c>
      <c r="L42" s="20" t="s">
        <v>12</v>
      </c>
      <c r="M42" s="20" t="s">
        <v>13</v>
      </c>
      <c r="N42" s="21"/>
      <c r="O42" s="21"/>
      <c r="P42" s="21"/>
      <c r="Q42" s="21"/>
      <c r="R42" s="21"/>
      <c r="S42" s="12"/>
      <c r="T42" s="23" t="str">
        <f ca="1">IF(W42="n/a","",IF(VLOOKUP(CONCATENATE(X42," – ",Y42),'Project Checklist'!$F$28:$I$366,4, FALSE)="--&gt; Yes","Y",IF(AND(VLOOKUP(CONCATENATE(X42," – ",Y42), 'Project Checklist'!$F$28:$I$366, 4, FALSE)="--&gt; n/a",W42="P"),"n/a","")))</f>
        <v/>
      </c>
      <c r="U42" s="24" t="str">
        <f ca="1">IF(W42="n/a","",IF(VLOOKUP(CONCATENATE(X42," – ",Y42), 'Project Checklist'!$F$28:$I$366, 4, FALSE)="--&gt; Maybe","?",""))</f>
        <v/>
      </c>
      <c r="V42" s="25" t="str">
        <f ca="1">IF(W42="n/a","",IF(VLOOKUP(CONCATENATE(X42," – ",Y42), 'Project Checklist'!$F$28:$I$366, 4, FALSE)="--&gt; No","N",""))</f>
        <v/>
      </c>
      <c r="W42" s="26" t="str">
        <f t="shared" si="7"/>
        <v>O</v>
      </c>
      <c r="X42" s="57" t="str">
        <f>Admin!A92</f>
        <v>BLU</v>
      </c>
      <c r="Y42" s="58" t="str">
        <f>Admin!B92</f>
        <v>Restorative Blue Spaces</v>
      </c>
      <c r="Z42" s="31"/>
      <c r="AA42" s="31"/>
      <c r="AB42" s="14"/>
      <c r="AD42" s="23">
        <f>'Project Checklist'!E21</f>
        <v>0</v>
      </c>
      <c r="AF42" s="28" t="s">
        <v>793</v>
      </c>
      <c r="AG42" s="28"/>
      <c r="AH42" s="30"/>
      <c r="AI42" s="28"/>
      <c r="AJ42" s="31"/>
      <c r="AK42" s="31"/>
    </row>
    <row r="43" spans="1:38" ht="14.25" customHeight="1">
      <c r="A43" s="12"/>
      <c r="B43" s="23" t="str">
        <f ca="1">IF(E43="n/a","",IF(VLOOKUP(CONCATENATE(F43," – ",G43),'Project Checklist'!$F$28:$I$366,4, FALSE)="--&gt; Yes","Y",IF(AND(VLOOKUP(CONCATENATE(F43," – ",G43), 'Project Checklist'!$F$28:$I$366, 4, FALSE)="--&gt; n/a",E43="P"),"n/a","")))</f>
        <v/>
      </c>
      <c r="C43" s="24" t="str">
        <f ca="1">IF(E43="n/a","",IF(VLOOKUP(CONCATENATE(F43," – ",G43), 'Project Checklist'!$F$28:$I$366, 4, FALSE)="--&gt; Maybe","?",""))</f>
        <v/>
      </c>
      <c r="D43" s="25" t="str">
        <f ca="1">IF(E43="n/a","",IF(VLOOKUP(CONCATENATE(F43," – ",G43), 'Project Checklist'!$F$28:$I$366, 4, FALSE)="--&gt; No","N",""))</f>
        <v/>
      </c>
      <c r="E43" s="26" t="str">
        <f t="shared" si="9"/>
        <v>O</v>
      </c>
      <c r="F43" s="30" t="str">
        <f>Admin!A28</f>
        <v>FAD</v>
      </c>
      <c r="G43" s="28" t="str">
        <f>Admin!B28</f>
        <v>Food Advertising</v>
      </c>
      <c r="H43" s="31"/>
      <c r="I43" s="32"/>
      <c r="J43" s="12"/>
      <c r="K43" s="23" t="str">
        <f ca="1">IF(N43="n/a","",IF(VLOOKUP(CONCATENATE(O43," – ",P43),'Project Checklist'!$F$28:$I$366,4, FALSE)="--&gt; Yes","Y",IF(AND(VLOOKUP(CONCATENATE(O43," – ",P43), 'Project Checklist'!$F$28:$I$366, 4, FALSE)="--&gt; n/a",N43="P"),"n/a","")))</f>
        <v/>
      </c>
      <c r="L43" s="24" t="str">
        <f ca="1">IF(N43="n/a","",IF(VLOOKUP(CONCATENATE(O43," – ",P43), 'Project Checklist'!$F$28:$I$366, 4, FALSE)="--&gt; Maybe","?",""))</f>
        <v/>
      </c>
      <c r="M43" s="25" t="str">
        <f ca="1">IF(N43="n/a","",IF(VLOOKUP(CONCATENATE(O43," – ",P43), 'Project Checklist'!$F$28:$I$366, 4, FALSE)="--&gt; No","N",""))</f>
        <v/>
      </c>
      <c r="N43" s="26" t="str">
        <f t="shared" ref="N43:N51" si="10">VLOOKUP(O43,TblCredit,IF(ctrlTypo="Community",4,IF(ctrlTypo="NEI",5,6)),FALSE)</f>
        <v>P</v>
      </c>
      <c r="O43" s="55" t="str">
        <f>Admin!A60</f>
        <v>EXT</v>
      </c>
      <c r="P43" s="54" t="str">
        <f>Admin!B60</f>
        <v>Extreme Weather Warnings</v>
      </c>
      <c r="S43" s="12"/>
      <c r="T43" s="23" t="str">
        <f ca="1">IF(W43="n/a","",IF(VLOOKUP(CONCATENATE(X43," – ",Y43),'Project Checklist'!$F$28:$I$366,4, FALSE)="--&gt; Yes","Y",IF(AND(VLOOKUP(CONCATENATE(X43," – ",Y43), 'Project Checklist'!$F$28:$I$366, 4, FALSE)="--&gt; n/a",W43="P"),"n/a","")))</f>
        <v/>
      </c>
      <c r="U43" s="24" t="str">
        <f ca="1">IF(W43="n/a","",IF(VLOOKUP(CONCATENATE(X43," – ",Y43), 'Project Checklist'!$F$28:$I$366, 4, FALSE)="--&gt; Maybe","?",""))</f>
        <v/>
      </c>
      <c r="V43" s="25" t="str">
        <f ca="1">IF(W43="n/a","",IF(VLOOKUP(CONCATENATE(X43," – ",Y43), 'Project Checklist'!$F$28:$I$366, 4, FALSE)="--&gt; No","N",""))</f>
        <v/>
      </c>
      <c r="W43" s="26" t="str">
        <f t="shared" si="7"/>
        <v>O</v>
      </c>
      <c r="X43" s="57" t="str">
        <f>Admin!A93</f>
        <v>BLT</v>
      </c>
      <c r="Y43" s="58" t="str">
        <f>Admin!B93</f>
        <v>Restorative Built Spaces</v>
      </c>
      <c r="Z43" s="31"/>
      <c r="AA43" s="31"/>
      <c r="AB43" s="14"/>
      <c r="AD43" s="23">
        <f>'Project Checklist'!E26</f>
        <v>0</v>
      </c>
      <c r="AF43" s="28" t="s">
        <v>794</v>
      </c>
      <c r="AG43" s="28"/>
      <c r="AH43" s="30"/>
      <c r="AI43" s="28"/>
      <c r="AJ43" s="31"/>
      <c r="AK43" s="31"/>
    </row>
    <row r="44" spans="1:38" ht="14.25" customHeight="1">
      <c r="A44" s="12"/>
      <c r="B44" s="23" t="str">
        <f ca="1">IF(E44="n/a","",IF(VLOOKUP(CONCATENATE(F44," – ",G44),'Project Checklist'!$F$28:$I$366,4, FALSE)="--&gt; Yes","Y",IF(AND(VLOOKUP(CONCATENATE(F44," – ",G44), 'Project Checklist'!$F$28:$I$366, 4, FALSE)="--&gt; n/a",E44="P"),"n/a","")))</f>
        <v/>
      </c>
      <c r="C44" s="24" t="str">
        <f ca="1">IF(E44="n/a","",IF(VLOOKUP(CONCATENATE(F44," – ",G44), 'Project Checklist'!$F$28:$I$366, 4, FALSE)="--&gt; Maybe","?",""))</f>
        <v/>
      </c>
      <c r="D44" s="25" t="str">
        <f ca="1">IF(E44="n/a","",IF(VLOOKUP(CONCATENATE(F44," – ",G44), 'Project Checklist'!$F$28:$I$366, 4, FALSE)="--&gt; No","N",""))</f>
        <v/>
      </c>
      <c r="E44" s="26" t="str">
        <f t="shared" si="9"/>
        <v>O</v>
      </c>
      <c r="F44" s="30" t="str">
        <f>Admin!A29</f>
        <v>NED</v>
      </c>
      <c r="G44" s="28" t="str">
        <f>Admin!B29</f>
        <v>Nutrition Education</v>
      </c>
      <c r="H44" s="31"/>
      <c r="I44" s="32"/>
      <c r="J44" s="12"/>
      <c r="K44" s="23" t="str">
        <f ca="1">IF(N44="n/a","",IF(VLOOKUP(CONCATENATE(O44," – ",P44),'Project Checklist'!$F$28:$I$366,4, FALSE)="--&gt; Yes","Y",IF(AND(VLOOKUP(CONCATENATE(O44," – ",P44), 'Project Checklist'!$F$28:$I$366, 4, FALSE)="--&gt; n/a",N44="P"),"n/a","")))</f>
        <v/>
      </c>
      <c r="L44" s="24" t="str">
        <f ca="1">IF(N44="n/a","",IF(VLOOKUP(CONCATENATE(O44," – ",P44), 'Project Checklist'!$F$28:$I$366, 4, FALSE)="--&gt; Maybe","?",""))</f>
        <v/>
      </c>
      <c r="M44" s="25" t="str">
        <f ca="1">IF(N44="n/a","",IF(VLOOKUP(CONCATENATE(O44," – ",P44), 'Project Checklist'!$F$28:$I$366, 4, FALSE)="--&gt; No","N",""))</f>
        <v/>
      </c>
      <c r="N44" s="26" t="str">
        <f t="shared" si="10"/>
        <v>O</v>
      </c>
      <c r="O44" s="55" t="str">
        <f>Admin!A61</f>
        <v>HET</v>
      </c>
      <c r="P44" s="54" t="str">
        <f>Admin!B61</f>
        <v>Urban Heat Adaptation: Community Support</v>
      </c>
      <c r="S44" s="12"/>
      <c r="T44" s="23" t="str">
        <f ca="1">IF(W44="n/a","",IF(VLOOKUP(CONCATENATE(X44," – ",Y44),'Project Checklist'!$F$28:$I$366,4, FALSE)="--&gt; Yes","Y",IF(AND(VLOOKUP(CONCATENATE(X44," – ",Y44), 'Project Checklist'!$F$28:$I$366, 4, FALSE)="--&gt; n/a",W44="P"),"n/a","")))</f>
        <v/>
      </c>
      <c r="U44" s="24" t="str">
        <f ca="1">IF(W44="n/a","",IF(VLOOKUP(CONCATENATE(X44," – ",Y44), 'Project Checklist'!$F$28:$I$366, 4, FALSE)="--&gt; Maybe","?",""))</f>
        <v/>
      </c>
      <c r="V44" s="25" t="str">
        <f ca="1">IF(W44="n/a","",IF(VLOOKUP(CONCATENATE(X44," – ",Y44), 'Project Checklist'!$F$28:$I$366, 4, FALSE)="--&gt; No","N",""))</f>
        <v/>
      </c>
      <c r="W44" s="26" t="str">
        <f t="shared" si="7"/>
        <v>O</v>
      </c>
      <c r="X44" s="57" t="str">
        <f>Admin!A94</f>
        <v>SCE</v>
      </c>
      <c r="Y44" s="58" t="str">
        <f>Admin!B94</f>
        <v>Preservation of Scenic Views</v>
      </c>
      <c r="Z44" s="31"/>
      <c r="AA44" s="31"/>
      <c r="AB44" s="14"/>
      <c r="AD44" s="64">
        <f>SUM(AD42:AD43)</f>
        <v>0</v>
      </c>
      <c r="AE44" s="8" t="s">
        <v>797</v>
      </c>
      <c r="AF44" s="28"/>
      <c r="AG44" s="28"/>
      <c r="AH44" s="30"/>
      <c r="AI44" s="28"/>
      <c r="AJ44" s="31"/>
      <c r="AK44" s="31"/>
    </row>
    <row r="45" spans="1:38" ht="14.25" customHeight="1">
      <c r="A45" s="8"/>
      <c r="B45" s="23" t="str">
        <f ca="1">IF(E45="n/a","",IF(VLOOKUP(CONCATENATE(F45," – ",G45),'Project Checklist'!$F$28:$I$366,4, FALSE)="--&gt; Yes","Y",IF(AND(VLOOKUP(CONCATENATE(F45," – ",G45), 'Project Checklist'!$F$28:$I$366, 4, FALSE)="--&gt; n/a",E45="P"),"n/a","")))</f>
        <v/>
      </c>
      <c r="C45" s="24" t="str">
        <f ca="1">IF(E45="n/a","",IF(VLOOKUP(CONCATENATE(F45," – ",G45), 'Project Checklist'!$F$28:$I$366, 4, FALSE)="--&gt; Maybe","?",""))</f>
        <v/>
      </c>
      <c r="D45" s="25" t="str">
        <f ca="1">IF(E45="n/a","",IF(VLOOKUP(CONCATENATE(F45," – ",G45), 'Project Checklist'!$F$28:$I$366, 4, FALSE)="--&gt; No","N",""))</f>
        <v/>
      </c>
      <c r="E45" s="26" t="str">
        <f t="shared" si="9"/>
        <v>O</v>
      </c>
      <c r="F45" s="30" t="str">
        <f>Admin!A30</f>
        <v>AGR</v>
      </c>
      <c r="G45" s="28" t="str">
        <f>Admin!B30</f>
        <v>Urban Agriculture I, Provision</v>
      </c>
      <c r="H45" s="31"/>
      <c r="I45" s="32"/>
      <c r="J45" s="12"/>
      <c r="K45" s="23" t="str">
        <f ca="1">IF(N45="n/a","",IF(VLOOKUP(CONCATENATE(O45," – ",P45),'Project Checklist'!$F$28:$I$366,4, FALSE)="--&gt; Yes","Y",IF(AND(VLOOKUP(CONCATENATE(O45," – ",P45), 'Project Checklist'!$F$28:$I$366, 4, FALSE)="--&gt; n/a",N45="P"),"n/a","")))</f>
        <v/>
      </c>
      <c r="L45" s="24" t="str">
        <f ca="1">IF(N45="n/a","",IF(VLOOKUP(CONCATENATE(O45," – ",P45), 'Project Checklist'!$F$28:$I$366, 4, FALSE)="--&gt; Maybe","?",""))</f>
        <v/>
      </c>
      <c r="M45" s="25" t="str">
        <f ca="1">IF(N45="n/a","",IF(VLOOKUP(CONCATENATE(O45," – ",P45), 'Project Checklist'!$F$28:$I$366, 4, FALSE)="--&gt; No","N",""))</f>
        <v/>
      </c>
      <c r="N45" s="26" t="str">
        <f t="shared" si="10"/>
        <v>O</v>
      </c>
      <c r="O45" s="55" t="str">
        <f>Admin!A62</f>
        <v>HPE</v>
      </c>
      <c r="P45" s="54" t="str">
        <f>Admin!B62</f>
        <v>Urban Heat Adaptation: Public Education</v>
      </c>
      <c r="S45" s="12"/>
      <c r="T45" s="33">
        <f ca="1">COUNTIF(T33:T44,"?*")</f>
        <v>0</v>
      </c>
      <c r="U45" s="33">
        <f ca="1">COUNTIF(U33:U44,"?*")</f>
        <v>0</v>
      </c>
      <c r="V45" s="33">
        <f ca="1">COUNTIF(V33:V44,"?*")</f>
        <v>0</v>
      </c>
      <c r="W45" s="8" t="s">
        <v>766</v>
      </c>
      <c r="X45" s="30"/>
      <c r="Y45" s="28"/>
      <c r="Z45" s="31"/>
      <c r="AA45" s="31"/>
      <c r="AB45" s="14"/>
      <c r="AD45" s="28"/>
      <c r="AE45" s="28"/>
      <c r="AF45" s="28"/>
      <c r="AG45" s="28"/>
      <c r="AH45" s="30"/>
      <c r="AI45" s="28"/>
      <c r="AJ45" s="31"/>
      <c r="AK45" s="31"/>
    </row>
    <row r="46" spans="1:38" ht="14.25" customHeight="1">
      <c r="A46" s="8"/>
      <c r="B46" s="23" t="str">
        <f ca="1">IF(E46="n/a","",IF(VLOOKUP(CONCATENATE(F46," – ",G46),'Project Checklist'!$F$28:$I$366,4, FALSE)="--&gt; Yes","Y",IF(AND(VLOOKUP(CONCATENATE(F46," – ",G46), 'Project Checklist'!$F$28:$I$366, 4, FALSE)="--&gt; n/a",E46="P"),"n/a","")))</f>
        <v/>
      </c>
      <c r="C46" s="24" t="str">
        <f ca="1">IF(E46="n/a","",IF(VLOOKUP(CONCATENATE(F46," – ",G46), 'Project Checklist'!$F$28:$I$366, 4, FALSE)="--&gt; Maybe","?",""))</f>
        <v/>
      </c>
      <c r="D46" s="25" t="str">
        <f ca="1">IF(E46="n/a","",IF(VLOOKUP(CONCATENATE(F46," – ",G46), 'Project Checklist'!$F$28:$I$366, 4, FALSE)="--&gt; No","N",""))</f>
        <v/>
      </c>
      <c r="E46" s="26" t="str">
        <f t="shared" si="9"/>
        <v>O</v>
      </c>
      <c r="F46" s="30" t="str">
        <f>Admin!A31</f>
        <v>AGP</v>
      </c>
      <c r="G46" s="28" t="str">
        <f>Admin!B31</f>
        <v>Urban Agriculture II, Promotion</v>
      </c>
      <c r="H46" s="31"/>
      <c r="I46" s="32"/>
      <c r="J46" s="12"/>
      <c r="K46" s="23" t="str">
        <f ca="1">IF(N46="n/a","",IF(VLOOKUP(CONCATENATE(O46," – ",P46),'Project Checklist'!$F$28:$I$366,4, FALSE)="--&gt; Yes","Y",IF(AND(VLOOKUP(CONCATENATE(O46," – ",P46), 'Project Checklist'!$F$28:$I$366, 4, FALSE)="--&gt; n/a",N46="P"),"n/a","")))</f>
        <v/>
      </c>
      <c r="L46" s="24" t="str">
        <f ca="1">IF(N46="n/a","",IF(VLOOKUP(CONCATENATE(O46," – ",P46), 'Project Checklist'!$F$28:$I$366, 4, FALSE)="--&gt; Maybe","?",""))</f>
        <v/>
      </c>
      <c r="M46" s="25" t="str">
        <f ca="1">IF(N46="n/a","",IF(VLOOKUP(CONCATENATE(O46," – ",P46), 'Project Checklist'!$F$28:$I$366, 4, FALSE)="--&gt; No","N",""))</f>
        <v/>
      </c>
      <c r="N46" s="26" t="str">
        <f t="shared" si="10"/>
        <v>O</v>
      </c>
      <c r="O46" s="55" t="str">
        <f>Admin!A63</f>
        <v>CLD</v>
      </c>
      <c r="P46" s="54" t="str">
        <f>Admin!B63</f>
        <v>Urban Cold Adaptation: Community Support</v>
      </c>
      <c r="S46" s="12"/>
    </row>
    <row r="47" spans="1:38" ht="14.25" customHeight="1">
      <c r="A47" s="8"/>
      <c r="B47" s="23" t="str">
        <f ca="1">IF(E47="n/a","",IF(VLOOKUP(CONCATENATE(F47," – ",G47),'Project Checklist'!$F$28:$I$366,4, FALSE)="--&gt; Yes","Y",IF(AND(VLOOKUP(CONCATENATE(F47," – ",G47), 'Project Checklist'!$F$28:$I$366, 4, FALSE)="--&gt; n/a",E47="P"),"n/a","")))</f>
        <v/>
      </c>
      <c r="C47" s="24" t="str">
        <f ca="1">IF(E47="n/a","",IF(VLOOKUP(CONCATENATE(F47," – ",G47), 'Project Checklist'!$F$28:$I$366, 4, FALSE)="--&gt; Maybe","?",""))</f>
        <v/>
      </c>
      <c r="D47" s="25" t="str">
        <f ca="1">IF(E47="n/a","",IF(VLOOKUP(CONCATENATE(F47," – ",G47), 'Project Checklist'!$F$28:$I$366, 4, FALSE)="--&gt; No","N",""))</f>
        <v/>
      </c>
      <c r="E47" s="26" t="str">
        <f t="shared" si="9"/>
        <v>O</v>
      </c>
      <c r="F47" s="30" t="str">
        <f>Admin!A32</f>
        <v>FAF</v>
      </c>
      <c r="G47" s="28" t="str">
        <f>Admin!B32</f>
        <v>Food Affordability</v>
      </c>
      <c r="H47" s="31"/>
      <c r="I47" s="32"/>
      <c r="J47" s="12"/>
      <c r="K47" s="23" t="str">
        <f ca="1">IF(N47="n/a","",IF(VLOOKUP(CONCATENATE(O47," – ",P47),'Project Checklist'!$F$28:$I$366,4, FALSE)="--&gt; Yes","Y",IF(AND(VLOOKUP(CONCATENATE(O47," – ",P47), 'Project Checklist'!$F$28:$I$366, 4, FALSE)="--&gt; n/a",N47="P"),"n/a","")))</f>
        <v/>
      </c>
      <c r="L47" s="24" t="str">
        <f ca="1">IF(N47="n/a","",IF(VLOOKUP(CONCATENATE(O47," – ",P47), 'Project Checklist'!$F$28:$I$366, 4, FALSE)="--&gt; Maybe","?",""))</f>
        <v/>
      </c>
      <c r="M47" s="25" t="str">
        <f ca="1">IF(N47="n/a","",IF(VLOOKUP(CONCATENATE(O47," – ",P47), 'Project Checklist'!$F$28:$I$366, 4, FALSE)="--&gt; No","N",""))</f>
        <v/>
      </c>
      <c r="N47" s="26" t="str">
        <f t="shared" si="10"/>
        <v>O</v>
      </c>
      <c r="O47" s="55" t="str">
        <f>Admin!A64</f>
        <v>CPE</v>
      </c>
      <c r="P47" s="54" t="str">
        <f>Admin!B64</f>
        <v>Urban Cold Adaptation: Public Education</v>
      </c>
      <c r="S47" s="12"/>
      <c r="AI47" s="52"/>
      <c r="AJ47" s="52"/>
    </row>
    <row r="48" spans="1:38" ht="14.25" customHeight="1">
      <c r="A48" s="8"/>
      <c r="B48" s="23" t="str">
        <f ca="1">IF(E48="n/a","",IF(VLOOKUP(CONCATENATE(F48," – ",G48," (1 of the 2 parts is required)"),'Project Checklist'!$F$28:$I$366,4, FALSE)="--&gt; Yes","Y",IF(AND(VLOOKUP(CONCATENATE(F48," – ",G48," (1 of the 2 parts is required)"), 'Project Checklist'!$F$28:$I$366, 4, FALSE)="--&gt; n/a",E48="P"),"n/a","")))</f>
        <v/>
      </c>
      <c r="C48" s="24" t="str">
        <f ca="1">IF(E48="n/a","",IF(VLOOKUP(CONCATENATE(F48," – ",G48," (1 of the 2 parts is required)"), 'Project Checklist'!$F$28:$I$366, 4, FALSE)="--&gt; Maybe","?",""))</f>
        <v/>
      </c>
      <c r="D48" s="25" t="str">
        <f ca="1">IF(E48="n/a","",IF(VLOOKUP(CONCATENATE(F48," – ",G48," (1 of the 2 parts is required)"), 'Project Checklist'!$F$28:$I$366, 4, FALSE)="--&gt; No","N",""))</f>
        <v/>
      </c>
      <c r="E48" s="26" t="str">
        <f t="shared" si="9"/>
        <v>O</v>
      </c>
      <c r="F48" s="30" t="str">
        <f>Admin!A33</f>
        <v>FSE</v>
      </c>
      <c r="G48" s="28" t="str">
        <f>Admin!B33</f>
        <v>Food Security</v>
      </c>
      <c r="H48" s="31"/>
      <c r="I48" s="32"/>
      <c r="J48" s="12"/>
      <c r="K48" s="23" t="str">
        <f ca="1">IF(N48="n/a","",IF(VLOOKUP(CONCATENATE(O48," – ",P48),'Project Checklist'!$F$28:$I$366,4, FALSE)="--&gt; Yes","Y",IF(AND(VLOOKUP(CONCATENATE(O48," – ",P48), 'Project Checklist'!$F$28:$I$366, 4, FALSE)="--&gt; n/a",N48="P"),"n/a","")))</f>
        <v/>
      </c>
      <c r="L48" s="24" t="str">
        <f ca="1">IF(N48="n/a","",IF(VLOOKUP(CONCATENATE(O48," – ",P48), 'Project Checklist'!$F$28:$I$366, 4, FALSE)="--&gt; Maybe","?",""))</f>
        <v/>
      </c>
      <c r="M48" s="25" t="str">
        <f ca="1">IF(N48="n/a","",IF(VLOOKUP(CONCATENATE(O48," – ",P48), 'Project Checklist'!$F$28:$I$366, 4, FALSE)="--&gt; No","N",""))</f>
        <v/>
      </c>
      <c r="N48" s="26" t="str">
        <f t="shared" si="10"/>
        <v>O</v>
      </c>
      <c r="O48" s="55" t="str">
        <f>Admin!A65</f>
        <v>HIM</v>
      </c>
      <c r="P48" s="54" t="str">
        <f>Admin!B65</f>
        <v>Urban Heat Island Mitigation</v>
      </c>
      <c r="S48" s="12"/>
      <c r="T48" s="28"/>
      <c r="U48" s="28"/>
      <c r="V48" s="28"/>
      <c r="W48" s="28"/>
      <c r="X48" s="30"/>
      <c r="Y48" s="28"/>
      <c r="Z48" s="29"/>
      <c r="AA48" s="29"/>
      <c r="AB48" s="14"/>
    </row>
    <row r="49" spans="1:28" ht="14.25" customHeight="1">
      <c r="A49" s="8"/>
      <c r="B49" s="23" t="str">
        <f ca="1">IF(E49="n/a","",IF(VLOOKUP(CONCATENATE(F49," – ",G49),'Project Checklist'!$F$28:$I$366,4, FALSE)="--&gt; Yes","Y",IF(AND(VLOOKUP(CONCATENATE(F49," – ",G49), 'Project Checklist'!$F$28:$I$366, 4, FALSE)="--&gt; n/a",E49="P"),"n/a","")))</f>
        <v/>
      </c>
      <c r="C49" s="24" t="str">
        <f ca="1">IF(E49="n/a","",IF(VLOOKUP(CONCATENATE(F49," – ",G49), 'Project Checklist'!$F$28:$I$366, 4, FALSE)="--&gt; Maybe","?",""))</f>
        <v/>
      </c>
      <c r="D49" s="25" t="str">
        <f ca="1">IF(E49="n/a","",IF(VLOOKUP(CONCATENATE(F49," – ",G49), 'Project Checklist'!$F$28:$I$366, 4, FALSE)="--&gt; No","N",""))</f>
        <v/>
      </c>
      <c r="E49" s="26" t="str">
        <f t="shared" si="9"/>
        <v>O</v>
      </c>
      <c r="F49" s="30" t="str">
        <f>Admin!A34</f>
        <v>FSA</v>
      </c>
      <c r="G49" s="28" t="str">
        <f>Admin!B34</f>
        <v>Public Food Inspection Information</v>
      </c>
      <c r="H49" s="31"/>
      <c r="I49" s="32"/>
      <c r="J49" s="12"/>
      <c r="K49" s="23" t="str">
        <f ca="1">IF(N49="n/a","",IF(VLOOKUP(CONCATENATE(O49," – ",P49),'Project Checklist'!$F$28:$I$366,4, FALSE)="--&gt; Yes","Y",IF(AND(VLOOKUP(CONCATENATE(O49," – ",P49), 'Project Checklist'!$F$28:$I$366, 4, FALSE)="--&gt; n/a",N49="P"),"n/a","")))</f>
        <v/>
      </c>
      <c r="L49" s="24" t="str">
        <f ca="1">IF(N49="n/a","",IF(VLOOKUP(CONCATENATE(O49," – ",P49), 'Project Checklist'!$F$28:$I$366, 4, FALSE)="--&gt; Maybe","?",""))</f>
        <v/>
      </c>
      <c r="M49" s="25" t="str">
        <f ca="1">IF(N49="n/a","",IF(VLOOKUP(CONCATENATE(O49," – ",P49), 'Project Checklist'!$F$28:$I$366, 4, FALSE)="--&gt; No","N",""))</f>
        <v/>
      </c>
      <c r="N49" s="26" t="str">
        <f t="shared" si="10"/>
        <v>O</v>
      </c>
      <c r="O49" s="55" t="str">
        <f>Admin!A66</f>
        <v>VEG</v>
      </c>
      <c r="P49" s="54" t="str">
        <f>Admin!B66</f>
        <v>Urban Vegetation and Green Spaces</v>
      </c>
      <c r="S49" s="37"/>
      <c r="X49" s="71"/>
      <c r="Y49" s="14"/>
      <c r="Z49" s="14"/>
      <c r="AA49" s="14"/>
      <c r="AB49" s="14"/>
    </row>
    <row r="50" spans="1:28" ht="14.25" customHeight="1">
      <c r="A50" s="8"/>
      <c r="B50" s="23" t="str">
        <f ca="1">IF(E50="n/a","",IF(VLOOKUP(CONCATENATE(F50," – ",G50),'Project Checklist'!$F$28:$I$366,4, FALSE)="--&gt; Yes","Y",IF(AND(VLOOKUP(CONCATENATE(F50," – ",G50), 'Project Checklist'!$F$28:$I$366, 4, FALSE)="--&gt; n/a",E50="P"),"n/a","")))</f>
        <v/>
      </c>
      <c r="C50" s="24" t="str">
        <f ca="1">IF(E50="n/a","",IF(VLOOKUP(CONCATENATE(F50," – ",G50), 'Project Checklist'!$F$28:$I$366, 4, FALSE)="--&gt; Maybe","?",""))</f>
        <v/>
      </c>
      <c r="D50" s="25" t="str">
        <f ca="1">IF(E50="n/a","",IF(VLOOKUP(CONCATENATE(F50," – ",G50), 'Project Checklist'!$F$28:$I$366, 4, FALSE)="--&gt; No","N",""))</f>
        <v/>
      </c>
      <c r="E50" s="26" t="str">
        <f t="shared" si="9"/>
        <v>O</v>
      </c>
      <c r="F50" s="30" t="str">
        <f>Admin!A35</f>
        <v>BRE</v>
      </c>
      <c r="G50" s="28" t="str">
        <f>Admin!B35</f>
        <v>Breastfeeding Support</v>
      </c>
      <c r="H50" s="31"/>
      <c r="I50" s="31"/>
      <c r="J50" s="12"/>
      <c r="K50" s="23" t="str">
        <f ca="1">IF(N50="n/a","",IF(VLOOKUP(CONCATENATE(O50," – ",P50),'Project Checklist'!$F$28:$I$366,4, FALSE)="--&gt; Yes","Y",IF(AND(VLOOKUP(CONCATENATE(O50," – ",P50), 'Project Checklist'!$F$28:$I$366, 4, FALSE)="--&gt; n/a",N50="P"),"n/a","")))</f>
        <v/>
      </c>
      <c r="L50" s="24" t="str">
        <f ca="1">IF(N50="n/a","",IF(VLOOKUP(CONCATENATE(O50," – ",P50), 'Project Checklist'!$F$28:$I$366, 4, FALSE)="--&gt; Maybe","?",""))</f>
        <v/>
      </c>
      <c r="M50" s="25" t="str">
        <f ca="1">IF(N50="n/a","",IF(VLOOKUP(CONCATENATE(O50," – ",P50), 'Project Checklist'!$F$28:$I$366, 4, FALSE)="--&gt; No","N",""))</f>
        <v/>
      </c>
      <c r="N50" s="26" t="str">
        <f t="shared" si="10"/>
        <v>O</v>
      </c>
      <c r="O50" s="55" t="str">
        <f>Admin!A67</f>
        <v>WAT</v>
      </c>
      <c r="P50" s="54" t="str">
        <f>Admin!B67</f>
        <v>Urban Water Bodies</v>
      </c>
      <c r="S50" s="37"/>
      <c r="AB50" s="14"/>
    </row>
    <row r="51" spans="1:28" ht="14.25" customHeight="1">
      <c r="A51" s="8"/>
      <c r="B51" s="33">
        <f ca="1">COUNTIF(B41:B50,"?*")</f>
        <v>0</v>
      </c>
      <c r="C51" s="33">
        <f ca="1">COUNTIF(C41:C50,"?*")</f>
        <v>0</v>
      </c>
      <c r="D51" s="33">
        <f ca="1">COUNTIF(D41:D50,"?*")</f>
        <v>0</v>
      </c>
      <c r="E51" s="8" t="s">
        <v>766</v>
      </c>
      <c r="F51" s="12"/>
      <c r="G51" s="28"/>
      <c r="H51" s="31"/>
      <c r="I51" s="31"/>
      <c r="J51" s="12"/>
      <c r="K51" s="23" t="str">
        <f ca="1">IF(N51="n/a","",IF(VLOOKUP(CONCATENATE(O51," – ",P51),'Project Checklist'!$F$28:$I$366,4, FALSE)="--&gt; Yes","Y",IF(AND(VLOOKUP(CONCATENATE(O51," – ",P51), 'Project Checklist'!$F$28:$I$366, 4, FALSE)="--&gt; n/a",N51="P"),"n/a","")))</f>
        <v/>
      </c>
      <c r="L51" s="24" t="str">
        <f ca="1">IF(N51="n/a","",IF(VLOOKUP(CONCATENATE(O51," – ",P51), 'Project Checklist'!$F$28:$I$366, 4, FALSE)="--&gt; Maybe","?",""))</f>
        <v/>
      </c>
      <c r="M51" s="25" t="str">
        <f ca="1">IF(N51="n/a","",IF(VLOOKUP(CONCATENATE(O51," – ",P51), 'Project Checklist'!$F$28:$I$366, 4, FALSE)="--&gt; No","N",""))</f>
        <v/>
      </c>
      <c r="N51" s="26" t="str">
        <f t="shared" si="10"/>
        <v>O</v>
      </c>
      <c r="O51" s="55" t="str">
        <f>Admin!A68</f>
        <v>SUN</v>
      </c>
      <c r="P51" s="54" t="str">
        <f>Admin!B68</f>
        <v>Personal Sun Exposure</v>
      </c>
      <c r="S51" s="12"/>
      <c r="T51" s="249" t="s">
        <v>14</v>
      </c>
      <c r="U51" s="250"/>
      <c r="V51" s="250"/>
      <c r="W51" s="250"/>
      <c r="X51" s="250"/>
      <c r="Y51" s="250"/>
      <c r="Z51" s="250"/>
      <c r="AA51" s="251"/>
      <c r="AB51" s="14"/>
    </row>
    <row r="52" spans="1:28">
      <c r="A52" s="8"/>
      <c r="J52" s="12"/>
      <c r="K52" s="33">
        <f ca="1">COUNTIF(K44:K51,"*?")</f>
        <v>0</v>
      </c>
      <c r="L52" s="33">
        <f ca="1">COUNTIF(L44:L51,"*?")</f>
        <v>0</v>
      </c>
      <c r="M52" s="33">
        <f ca="1">COUNTIF(M44:M51,"*?")</f>
        <v>0</v>
      </c>
      <c r="N52" s="8" t="s">
        <v>766</v>
      </c>
      <c r="O52" s="28"/>
      <c r="P52" s="28"/>
      <c r="Q52" s="31"/>
      <c r="R52" s="31"/>
      <c r="S52" s="12"/>
      <c r="T52" s="38" t="s">
        <v>10</v>
      </c>
      <c r="U52" s="39" t="s">
        <v>12</v>
      </c>
      <c r="V52" s="39" t="s">
        <v>13</v>
      </c>
      <c r="W52" s="19"/>
      <c r="X52" s="66"/>
      <c r="Y52" s="19"/>
      <c r="Z52" s="19"/>
      <c r="AA52" s="40"/>
      <c r="AB52" s="14"/>
    </row>
    <row r="53" spans="1:28">
      <c r="A53" s="8"/>
      <c r="B53" s="14"/>
      <c r="C53" s="14"/>
      <c r="D53" s="14"/>
      <c r="E53" s="14"/>
      <c r="F53" s="71"/>
      <c r="G53" s="14"/>
      <c r="H53" s="14"/>
      <c r="I53" s="14"/>
      <c r="J53" s="12"/>
      <c r="S53" s="12"/>
      <c r="T53" s="62">
        <f ca="1">COUNTIFS(listYAir,"?*",listLvlAir,"P")+COUNTIFS(listYWater,"?*",listLvlWater,"P")+COUNTIFS(listYNourish,"?*",listLvlNourish,"P")+COUNTIFS(listYLight,"?*",listLvlLight,"P")+COUNTIFS(listYFit,"?*",ListLvlFit,"P")+COUNTIFS(listYTemperature,"?*",listLvlTemperature,"P")+COUNTIFS(listYSound,"?*",listLvlSound,"P")+COUNTIFS(listYMaterial,"?*",listLvlMaterial,"P")+COUNTIFS(listYMind,"?*",listLvlMind,"P")+COUNTIFS(listYCommunity,"?*",listLvlCommunity,"P")+COUNTIFS(listYInnovation,"?*",listLvlInnovation,"P")</f>
        <v>0</v>
      </c>
      <c r="U53" s="62">
        <f ca="1">COUNTIFS(listqAir,"?*",listLvlAir,"P")+COUNTIFS(listQWater,"?*",listLvlWater,"P")+COUNTIFS(listQNourish,"?*",listLvlNourish,"P")+COUNTIFS(listQLight,"?*",listLvlLight,"P")+COUNTIFS(ListQFit,"?*",ListLvlFit,"P")+COUNTIFS(listQTemperature,"?*",listLvlTemperature,"P")+COUNTIFS(listQSound,"?*",listLvlSound,"P")+COUNTIFS(listQMaterial,"?*",listLvlMaterial,"P")+COUNTIFS(listQMind,"?*",listLvlMind,"P")+COUNTIFS(listQCommunity,"?*",listLvlCommunity,"P")+COUNTIFS(listQInnovation,"?*",listLvlInnovation,"P")</f>
        <v>0</v>
      </c>
      <c r="V53" s="62">
        <f ca="1">COUNTIFS(listNAir,"?*",listLvlAir,"P")+COUNTIFS(listNWater,"?*",listLvlWater,"P")+COUNTIFS(listNNourish,"?*",listLvlNourish,"P")+COUNTIFS(listNLight,"?*",listLvlLight,"P")+COUNTIFS(listNFit,"?*",ListLvlFit,"P")+COUNTIFS(listNTemperature,"?*",listLvlTemperature,"P")+COUNTIFS(listNSound,"?*",listLvlSound,"P")+COUNTIFS(listNMaterial,"?*",listLvlMaterial,"P")+COUNTIFS(listNMind,"?*",listLvlMind,"P")+COUNTIFS(listNCommunity,"?*",listLvlCommunity,"P")+COUNTIFS(listNInnovation,"?*",listLvlInnovation,"P")</f>
        <v>0</v>
      </c>
      <c r="W53" s="202" t="str">
        <f>"Preconditions ("&amp;COUNTIF(listLvlAir,"P")+COUNTIF(listLvlWater,"P")+COUNTIF(listLvlNourish,"P")+COUNTIF(listLvlLight,"P")+COUNTIF(ListLvlFit,"P")+COUNTIF(listLvlTemperature,"P")+COUNTIF(listLvlSound,"P")+COUNTIF(listLvlMaterial,"P")+COUNTIF(listLvlMind,"P")+COUNTIF(listLvlCommunity,"P")+COUNTIF(listLvlInnovation,"P")&amp;" possible)"</f>
        <v>Preconditions (10 possible)</v>
      </c>
      <c r="X53" s="203"/>
      <c r="Y53" s="203"/>
      <c r="Z53" s="203"/>
      <c r="AA53" s="204"/>
      <c r="AB53" s="14"/>
    </row>
    <row r="54" spans="1:28" s="14" customFormat="1">
      <c r="A54" s="8"/>
      <c r="F54" s="71"/>
      <c r="J54" s="12"/>
      <c r="S54" s="12"/>
      <c r="T54" s="62">
        <f ca="1">COUNTIFS(listYAir,"?*",listLvlAir,"O")+COUNTIFS(listYWater,"?*",listLvlWater,"O")+COUNTIFS(listYNourish,"?*",listLvlNourish,"O")+COUNTIFS(listYLight,"?*",listLvlLight,"O")+COUNTIFS(listYFit,"?*",ListLvlFit,"O")+COUNTIFS(listYTemperature,"?*",listLvlTemperature,"O")+COUNTIFS(listYSound,"?*",listLvlSound,"O")+COUNTIFS(listYMaterial,"?*",listLvlMaterial,"O")+COUNTIFS(listYMind,"?*",listLvlMind,"O")+COUNTIFS(listYCommunity,"?*",listLvlCommunity,"O")</f>
        <v>0</v>
      </c>
      <c r="U54" s="62">
        <f ca="1">COUNTIFS(listqAir,"?*",listLvlAir,"O")+COUNTIFS(listQWater,"?*",listLvlWater,"O")+COUNTIFS(listQNourish,"?*",listLvlNourish,"O")+COUNTIFS(listQLight,"?*",listLvlLight,"O")+COUNTIFS(ListQFit,"?*",ListLvlFit,"O")+COUNTIFS(listQTemperature,"?*",listLvlTemperature,"O")+COUNTIFS(listQSound,"?*",listLvlSound,"O")+COUNTIFS(listQMaterial,"?*",listLvlMaterial,"O")+COUNTIFS(listQMind,"?*",listLvlMind,"O")+COUNTIFS(listQCommunity,"?*",listLvlCommunity,"O")+COUNTIFS(listQInnovation,"?*",listLvlInnovation,"O")</f>
        <v>0</v>
      </c>
      <c r="V54" s="62">
        <f ca="1">COUNTIFS(listNAir,"?*",listLvlAir,"O")+COUNTIFS(listNWater,"?*",listLvlWater,"O")+COUNTIFS(listNNourish,"?*",listLvlNourish,"O")+COUNTIFS(listNLight,"?*",listLvlLight,"O")+COUNTIFS(listNFit,"?*",ListLvlFit,"O")+COUNTIFS(listNTemperature,"?*",listLvlTemperature,"O")+COUNTIFS(listNSound,"?*",listLvlSound,"O")+COUNTIFS(listNMaterial,"?*",listLvlMaterial,"O")+COUNTIFS(listNMind,"?*",listLvlMind,"O")+COUNTIFS(listNCommunity,"?*",listLvlCommunity,"O")+COUNTIFS(listNInnovation,"?*",listLvlInnovation,"O")</f>
        <v>0</v>
      </c>
      <c r="W54" s="202" t="str">
        <f>"Optimizations ("&amp;COUNTIF(listLvlAir,"O")+COUNTIF(listLvlWater,"O")+COUNTIF(listLvlNourish,"O")+COUNTIF(listLvlLight,"O")+COUNTIF(ListLvlFit,"O")+COUNTIF(listLvlTemperature,"O")+COUNTIF(listLvlSound,"O")+COUNTIF(listLvlMaterial,"O")+COUNTIF(listLvlMind,"O")+COUNTIF(listLvlCommunity,"O")&amp;" pts possible)"</f>
        <v>Optimizations (100 pts possible)</v>
      </c>
      <c r="X54" s="203"/>
      <c r="Y54" s="203"/>
      <c r="Z54" s="203"/>
      <c r="AA54" s="204"/>
    </row>
    <row r="55" spans="1:28" s="14" customFormat="1">
      <c r="A55" s="8"/>
      <c r="F55" s="71"/>
      <c r="J55" s="12"/>
      <c r="S55" s="12"/>
      <c r="T55" s="62">
        <f ca="1">AD38</f>
        <v>0</v>
      </c>
      <c r="U55" s="62">
        <f ca="1">AE38</f>
        <v>0</v>
      </c>
      <c r="V55" s="62">
        <f ca="1">AF38</f>
        <v>0</v>
      </c>
      <c r="W55" s="202" t="str">
        <f>"Innovations (10 pts possible)"</f>
        <v>Innovations (10 pts possible)</v>
      </c>
      <c r="X55" s="203"/>
      <c r="Y55" s="203"/>
      <c r="Z55" s="203"/>
      <c r="AA55" s="204"/>
    </row>
    <row r="56" spans="1:28" s="14" customFormat="1">
      <c r="A56" s="8"/>
      <c r="F56" s="71"/>
      <c r="J56" s="12"/>
      <c r="S56" s="12"/>
      <c r="T56" s="62">
        <f>AD44</f>
        <v>0</v>
      </c>
      <c r="U56" s="63" t="s">
        <v>796</v>
      </c>
      <c r="V56" s="63" t="s">
        <v>796</v>
      </c>
      <c r="W56" s="202" t="s">
        <v>795</v>
      </c>
      <c r="X56" s="203"/>
      <c r="Y56" s="203"/>
      <c r="Z56" s="203"/>
      <c r="AA56" s="204"/>
    </row>
    <row r="57" spans="1:28" s="14" customFormat="1">
      <c r="A57" s="8"/>
      <c r="F57" s="71"/>
      <c r="G57" s="56" t="s">
        <v>772</v>
      </c>
      <c r="H57" s="75" t="s">
        <v>763</v>
      </c>
      <c r="J57" s="12"/>
      <c r="S57" s="12"/>
      <c r="T57" s="41"/>
      <c r="U57" s="41"/>
      <c r="V57" s="41"/>
      <c r="W57" s="41"/>
      <c r="X57" s="67"/>
      <c r="Y57" s="41"/>
      <c r="Z57" s="41"/>
      <c r="AA57" s="41"/>
    </row>
    <row r="58" spans="1:28" s="14" customFormat="1">
      <c r="A58" s="8"/>
      <c r="F58" s="71"/>
      <c r="J58" s="12"/>
      <c r="S58" s="12"/>
      <c r="T58" s="41"/>
      <c r="U58" s="41"/>
      <c r="V58" s="41"/>
      <c r="W58" s="41"/>
      <c r="X58" s="67"/>
      <c r="Y58" s="41"/>
      <c r="Z58" s="41"/>
      <c r="AA58" s="41"/>
    </row>
    <row r="59" spans="1:28" s="14" customFormat="1">
      <c r="A59" s="12"/>
      <c r="F59" s="71"/>
      <c r="J59" s="12"/>
      <c r="K59" s="12"/>
      <c r="L59" s="12"/>
      <c r="M59" s="12"/>
      <c r="N59" s="12"/>
      <c r="O59" s="12"/>
      <c r="P59" s="12"/>
      <c r="Q59" s="12"/>
      <c r="R59" s="12"/>
      <c r="S59" s="12"/>
      <c r="T59" s="12"/>
      <c r="X59" s="71"/>
    </row>
    <row r="60" spans="1:28" s="14" customFormat="1">
      <c r="A60" s="8"/>
      <c r="B60" s="42"/>
      <c r="C60" s="43"/>
      <c r="D60" s="206" t="s">
        <v>39</v>
      </c>
      <c r="E60" s="206"/>
      <c r="F60" s="206"/>
      <c r="G60" s="206"/>
      <c r="H60" s="206"/>
      <c r="I60" s="206"/>
      <c r="J60" s="206"/>
      <c r="K60" s="206"/>
      <c r="L60" s="206"/>
      <c r="M60" s="206"/>
      <c r="N60" s="206"/>
      <c r="O60" s="206"/>
      <c r="P60" s="206" t="s">
        <v>38</v>
      </c>
      <c r="Q60" s="206"/>
      <c r="R60" s="206"/>
      <c r="S60" s="206"/>
      <c r="T60" s="206"/>
      <c r="U60" s="206"/>
      <c r="V60" s="206"/>
      <c r="W60" s="206"/>
      <c r="X60" s="206"/>
      <c r="Y60" s="206"/>
      <c r="Z60" s="206"/>
      <c r="AA60" s="207"/>
    </row>
    <row r="61" spans="1:28" s="14" customFormat="1">
      <c r="A61" s="8"/>
      <c r="B61" s="208" t="s">
        <v>37</v>
      </c>
      <c r="C61" s="209"/>
      <c r="D61" s="212" t="str">
        <f>VLOOKUP(ctrlTypo,TblTypo,3,FALSE)</f>
        <v>Must meet all preconditions.</v>
      </c>
      <c r="E61" s="213"/>
      <c r="F61" s="213"/>
      <c r="G61" s="213"/>
      <c r="H61" s="213"/>
      <c r="I61" s="213"/>
      <c r="J61" s="213"/>
      <c r="K61" s="213"/>
      <c r="L61" s="213"/>
      <c r="M61" s="213"/>
      <c r="N61" s="213"/>
      <c r="O61" s="214"/>
      <c r="P61" s="213" t="str">
        <f ca="1">IF(T53+IF(H57="Yes",U53,0)&lt;&gt;VLOOKUP(ctrlTypo,TblTypo,5,FALSE),VLOOKUP(ctrlTypo,TblTypo,5,FALSE)-(T53+IF(H57="Yes",U53,0))&amp; " preconditions not yet met.","All preconditions satisfied.")</f>
        <v>10 preconditions not yet met.</v>
      </c>
      <c r="Q61" s="213"/>
      <c r="R61" s="213"/>
      <c r="S61" s="213"/>
      <c r="T61" s="213"/>
      <c r="U61" s="213"/>
      <c r="V61" s="213"/>
      <c r="W61" s="213"/>
      <c r="X61" s="213"/>
      <c r="Y61" s="213"/>
      <c r="Z61" s="213"/>
      <c r="AA61" s="214"/>
    </row>
    <row r="62" spans="1:28" s="14" customFormat="1" ht="14.25" customHeight="1">
      <c r="A62" s="8"/>
      <c r="B62" s="210" t="s">
        <v>57</v>
      </c>
      <c r="C62" s="211"/>
      <c r="D62" s="215" t="str">
        <f ca="1">VLOOKUP(ctrlTypo,TblTypo,4,FALSE)</f>
        <v>50 still needed for Silver, 60 for Gold, 80 for Platinum</v>
      </c>
      <c r="E62" s="216"/>
      <c r="F62" s="216"/>
      <c r="G62" s="216"/>
      <c r="H62" s="216"/>
      <c r="I62" s="216"/>
      <c r="J62" s="216"/>
      <c r="K62" s="216"/>
      <c r="L62" s="216"/>
      <c r="M62" s="216"/>
      <c r="N62" s="216"/>
      <c r="O62" s="217"/>
      <c r="P62" s="218" t="str">
        <f>"Certification cap: "&amp;IF(Admin!M7="Platinum","None",Admin!M7)</f>
        <v>Certification cap: None</v>
      </c>
      <c r="Q62" s="218"/>
      <c r="R62" s="218"/>
      <c r="S62" s="218"/>
      <c r="T62" s="218" t="str">
        <f ca="1">"Status: "&amp;IF(Admin!J9="no","Not certified -- missing ≥1 optimization per concept",IF(P61="All preconditions satisfied.",Admin!M8,"Not certified -- outstanding preconditions."))</f>
        <v>Status: Not certified -- missing ≥1 optimization per concept</v>
      </c>
      <c r="U62" s="218"/>
      <c r="V62" s="218"/>
      <c r="W62" s="218"/>
      <c r="X62" s="218"/>
      <c r="Y62" s="218"/>
      <c r="Z62" s="218"/>
      <c r="AA62" s="218"/>
    </row>
    <row r="63" spans="1:28" s="14" customFormat="1">
      <c r="A63" s="8"/>
      <c r="F63" s="71"/>
      <c r="J63" s="12"/>
      <c r="K63" s="12"/>
      <c r="L63" s="12"/>
      <c r="M63" s="12"/>
      <c r="N63" s="12"/>
      <c r="O63" s="12"/>
      <c r="P63" s="12"/>
      <c r="Q63" s="12"/>
      <c r="R63" s="12"/>
      <c r="S63" s="12"/>
      <c r="T63" s="12"/>
      <c r="X63" s="71"/>
    </row>
    <row r="64" spans="1:28" s="14" customFormat="1">
      <c r="A64" s="8"/>
      <c r="F64" s="71"/>
      <c r="J64" s="12"/>
      <c r="K64" s="12"/>
      <c r="L64" s="12"/>
      <c r="M64" s="12"/>
      <c r="N64" s="12"/>
      <c r="O64" s="12"/>
      <c r="P64" s="12"/>
      <c r="Q64" s="12"/>
      <c r="R64" s="12"/>
      <c r="S64" s="12"/>
      <c r="T64" s="12"/>
      <c r="X64" s="71"/>
    </row>
    <row r="65" spans="1:27" s="14" customFormat="1">
      <c r="A65" s="8"/>
      <c r="B65" s="205" t="s">
        <v>957</v>
      </c>
      <c r="C65" s="205"/>
      <c r="D65" s="205"/>
      <c r="E65" s="205"/>
      <c r="F65" s="205"/>
      <c r="G65" s="205"/>
      <c r="H65" s="205"/>
      <c r="I65" s="205"/>
      <c r="J65" s="205"/>
      <c r="K65" s="205"/>
      <c r="L65" s="205"/>
      <c r="M65" s="205"/>
      <c r="N65" s="205"/>
      <c r="O65" s="205"/>
      <c r="P65" s="205"/>
      <c r="Q65" s="205"/>
      <c r="R65" s="205"/>
      <c r="S65" s="205"/>
      <c r="T65" s="205"/>
      <c r="U65" s="205"/>
      <c r="V65" s="205"/>
      <c r="W65" s="205"/>
      <c r="X65" s="205"/>
      <c r="Y65" s="205"/>
      <c r="Z65" s="205"/>
      <c r="AA65" s="205"/>
    </row>
    <row r="66" spans="1:27" s="14" customFormat="1">
      <c r="A66" s="8"/>
      <c r="F66" s="71"/>
      <c r="J66" s="12"/>
      <c r="K66" s="12"/>
      <c r="L66" s="12"/>
      <c r="M66" s="12"/>
      <c r="N66" s="12"/>
      <c r="O66" s="12"/>
      <c r="P66" s="12"/>
      <c r="Q66" s="12"/>
      <c r="R66" s="12"/>
      <c r="S66" s="12"/>
      <c r="T66" s="12"/>
      <c r="X66" s="71"/>
    </row>
    <row r="67" spans="1:27" s="14" customFormat="1">
      <c r="A67" s="8"/>
      <c r="F67" s="71"/>
      <c r="J67" s="12"/>
      <c r="K67" s="12"/>
      <c r="L67" s="12"/>
      <c r="M67" s="12"/>
      <c r="N67" s="12"/>
      <c r="O67" s="12"/>
      <c r="P67" s="12"/>
      <c r="Q67" s="12"/>
      <c r="R67" s="12"/>
      <c r="S67" s="12"/>
      <c r="T67" s="12"/>
      <c r="X67" s="71"/>
    </row>
    <row r="68" spans="1:27" s="14" customFormat="1">
      <c r="A68" s="8"/>
      <c r="F68" s="71"/>
      <c r="J68" s="12"/>
      <c r="K68" s="12"/>
      <c r="L68" s="12"/>
      <c r="M68" s="12"/>
      <c r="N68" s="12"/>
      <c r="O68" s="12"/>
      <c r="P68" s="12"/>
      <c r="Q68" s="12"/>
      <c r="R68" s="12"/>
      <c r="S68" s="12"/>
      <c r="T68" s="12"/>
      <c r="X68" s="71"/>
    </row>
    <row r="69" spans="1:27" s="14" customFormat="1">
      <c r="A69" s="8"/>
      <c r="F69" s="71"/>
      <c r="J69" s="12"/>
      <c r="K69" s="12"/>
      <c r="L69" s="12"/>
      <c r="M69" s="12"/>
      <c r="N69" s="12"/>
      <c r="O69" s="12"/>
      <c r="P69" s="12"/>
      <c r="Q69" s="12"/>
      <c r="R69" s="12"/>
      <c r="S69" s="12"/>
      <c r="T69" s="12"/>
      <c r="X69" s="71"/>
    </row>
    <row r="70" spans="1:27" s="14" customFormat="1">
      <c r="A70" s="8"/>
      <c r="F70" s="71"/>
      <c r="J70" s="12"/>
      <c r="K70" s="12"/>
      <c r="L70" s="12"/>
      <c r="M70" s="12"/>
      <c r="N70" s="12"/>
      <c r="O70" s="12"/>
      <c r="P70" s="12"/>
      <c r="Q70" s="12"/>
      <c r="R70" s="12"/>
      <c r="S70" s="12"/>
      <c r="T70" s="12"/>
      <c r="X70" s="71"/>
    </row>
    <row r="71" spans="1:27" s="14" customFormat="1">
      <c r="A71" s="8"/>
      <c r="F71" s="71"/>
      <c r="J71" s="12"/>
      <c r="K71" s="12"/>
      <c r="L71" s="12"/>
      <c r="M71" s="12"/>
      <c r="N71" s="12"/>
      <c r="O71" s="12"/>
      <c r="P71" s="12"/>
      <c r="Q71" s="12"/>
      <c r="R71" s="12"/>
      <c r="S71" s="12"/>
      <c r="T71" s="12"/>
      <c r="X71" s="71"/>
    </row>
    <row r="72" spans="1:27" s="14" customFormat="1">
      <c r="A72" s="8"/>
      <c r="F72" s="71"/>
      <c r="J72" s="12"/>
      <c r="K72" s="12"/>
      <c r="L72" s="12"/>
      <c r="M72" s="12"/>
      <c r="N72" s="12"/>
      <c r="O72" s="12"/>
      <c r="P72" s="12"/>
      <c r="Q72" s="12"/>
      <c r="R72" s="12"/>
      <c r="S72" s="12"/>
      <c r="T72" s="12"/>
      <c r="X72" s="71"/>
    </row>
    <row r="73" spans="1:27" s="14" customFormat="1">
      <c r="A73" s="8"/>
      <c r="F73" s="71"/>
      <c r="J73" s="12"/>
      <c r="K73" s="12"/>
      <c r="L73" s="12"/>
      <c r="M73" s="12"/>
      <c r="N73" s="12"/>
      <c r="O73" s="12"/>
      <c r="P73" s="12"/>
      <c r="Q73" s="12"/>
      <c r="R73" s="12"/>
      <c r="S73" s="12"/>
      <c r="T73" s="12"/>
      <c r="X73" s="71"/>
    </row>
    <row r="74" spans="1:27" s="14" customFormat="1">
      <c r="A74" s="8"/>
      <c r="F74" s="71"/>
      <c r="J74" s="12"/>
      <c r="K74" s="12"/>
      <c r="L74" s="12"/>
      <c r="M74" s="12"/>
      <c r="N74" s="12"/>
      <c r="O74" s="12"/>
      <c r="P74" s="12"/>
      <c r="Q74" s="12"/>
      <c r="R74" s="12"/>
      <c r="S74" s="12"/>
      <c r="T74" s="12"/>
      <c r="X74" s="71"/>
    </row>
    <row r="75" spans="1:27" s="14" customFormat="1">
      <c r="A75" s="44"/>
      <c r="F75" s="71"/>
      <c r="J75" s="12"/>
      <c r="K75" s="12"/>
      <c r="L75" s="12"/>
      <c r="M75" s="12"/>
      <c r="N75" s="12"/>
      <c r="O75" s="12"/>
      <c r="P75" s="12"/>
      <c r="Q75" s="12"/>
      <c r="R75" s="12"/>
      <c r="S75" s="12"/>
      <c r="T75" s="12"/>
      <c r="X75" s="71"/>
    </row>
    <row r="76" spans="1:27" s="14" customFormat="1">
      <c r="B76" s="45"/>
      <c r="C76" s="45"/>
      <c r="D76" s="45"/>
      <c r="E76" s="8"/>
      <c r="F76" s="46"/>
      <c r="G76" s="34"/>
      <c r="H76" s="47"/>
      <c r="I76" s="48"/>
      <c r="J76" s="12"/>
      <c r="K76" s="12"/>
      <c r="L76" s="12"/>
      <c r="M76" s="12"/>
      <c r="N76" s="12"/>
      <c r="O76" s="12"/>
      <c r="P76" s="12"/>
      <c r="Q76" s="12"/>
      <c r="R76" s="12"/>
      <c r="S76" s="12"/>
      <c r="T76" s="12"/>
      <c r="X76" s="71"/>
    </row>
    <row r="77" spans="1:27" s="14" customFormat="1">
      <c r="F77" s="71"/>
      <c r="J77" s="12"/>
      <c r="K77" s="12"/>
      <c r="L77" s="12"/>
      <c r="M77" s="12"/>
      <c r="N77" s="12"/>
      <c r="O77" s="12"/>
      <c r="P77" s="12"/>
      <c r="Q77" s="12"/>
      <c r="R77" s="12"/>
      <c r="S77" s="12"/>
      <c r="T77" s="12"/>
      <c r="X77" s="71"/>
    </row>
    <row r="78" spans="1:27" s="14" customFormat="1">
      <c r="F78" s="71"/>
      <c r="J78" s="12"/>
      <c r="K78" s="12"/>
      <c r="L78" s="12"/>
      <c r="M78" s="12"/>
      <c r="N78" s="12"/>
      <c r="O78" s="12"/>
      <c r="P78" s="12"/>
      <c r="Q78" s="12"/>
      <c r="R78" s="12"/>
      <c r="S78" s="12"/>
      <c r="T78" s="12"/>
      <c r="X78" s="71"/>
    </row>
    <row r="79" spans="1:27" s="14" customFormat="1">
      <c r="F79" s="71"/>
      <c r="J79" s="12"/>
      <c r="K79" s="12"/>
      <c r="L79" s="12"/>
      <c r="M79" s="12"/>
      <c r="N79" s="12"/>
      <c r="O79" s="12"/>
      <c r="P79" s="12"/>
      <c r="Q79" s="12"/>
      <c r="R79" s="12"/>
      <c r="S79" s="12"/>
      <c r="T79" s="12"/>
      <c r="X79" s="71"/>
    </row>
    <row r="80" spans="1:27" s="14" customFormat="1">
      <c r="F80" s="71"/>
      <c r="J80" s="12"/>
      <c r="K80" s="12"/>
      <c r="L80" s="12"/>
      <c r="M80" s="12"/>
      <c r="N80" s="12"/>
      <c r="O80" s="12"/>
      <c r="P80" s="12"/>
      <c r="Q80" s="12"/>
      <c r="R80" s="12"/>
      <c r="S80" s="12"/>
      <c r="T80" s="12"/>
      <c r="X80" s="71"/>
    </row>
    <row r="81" spans="6:24" s="14" customFormat="1">
      <c r="F81" s="71"/>
      <c r="J81" s="12"/>
      <c r="K81" s="12"/>
      <c r="L81" s="12"/>
      <c r="M81" s="12"/>
      <c r="N81" s="12"/>
      <c r="O81" s="12"/>
      <c r="P81" s="12"/>
      <c r="Q81" s="12"/>
      <c r="R81" s="12"/>
      <c r="S81" s="12"/>
      <c r="T81" s="12"/>
      <c r="X81" s="71"/>
    </row>
    <row r="82" spans="6:24" s="14" customFormat="1">
      <c r="F82" s="71"/>
      <c r="J82" s="12"/>
      <c r="K82" s="12"/>
      <c r="L82" s="12"/>
      <c r="M82" s="12"/>
      <c r="N82" s="12"/>
      <c r="O82" s="12"/>
      <c r="P82" s="12"/>
      <c r="Q82" s="12"/>
      <c r="R82" s="12"/>
      <c r="S82" s="12"/>
      <c r="T82" s="12"/>
      <c r="X82" s="71"/>
    </row>
    <row r="83" spans="6:24" s="14" customFormat="1">
      <c r="F83" s="71"/>
      <c r="J83" s="12"/>
      <c r="K83" s="12"/>
      <c r="L83" s="12"/>
      <c r="M83" s="12"/>
      <c r="N83" s="12"/>
      <c r="O83" s="12"/>
      <c r="P83" s="12"/>
      <c r="Q83" s="12"/>
      <c r="R83" s="12"/>
      <c r="S83" s="12"/>
      <c r="T83" s="12"/>
      <c r="X83" s="71"/>
    </row>
    <row r="84" spans="6:24" s="14" customFormat="1">
      <c r="F84" s="71"/>
      <c r="J84" s="12"/>
      <c r="K84" s="12"/>
      <c r="L84" s="12"/>
      <c r="M84" s="12"/>
      <c r="N84" s="12"/>
      <c r="O84" s="12"/>
      <c r="P84" s="12"/>
      <c r="Q84" s="12"/>
      <c r="R84" s="12"/>
      <c r="S84" s="12"/>
      <c r="T84" s="12"/>
      <c r="X84" s="71"/>
    </row>
    <row r="85" spans="6:24" s="14" customFormat="1">
      <c r="F85" s="71"/>
      <c r="J85" s="12"/>
      <c r="K85" s="12"/>
      <c r="L85" s="12"/>
      <c r="M85" s="12"/>
      <c r="N85" s="12"/>
      <c r="O85" s="12"/>
      <c r="P85" s="12"/>
      <c r="Q85" s="12"/>
      <c r="R85" s="12"/>
      <c r="S85" s="12"/>
      <c r="T85" s="12"/>
      <c r="X85" s="71"/>
    </row>
    <row r="86" spans="6:24" s="14" customFormat="1">
      <c r="F86" s="71"/>
      <c r="J86" s="12"/>
      <c r="K86" s="12"/>
      <c r="L86" s="12"/>
      <c r="M86" s="12"/>
      <c r="N86" s="12"/>
      <c r="O86" s="12"/>
      <c r="P86" s="12"/>
      <c r="Q86" s="12"/>
      <c r="R86" s="12"/>
      <c r="S86" s="12"/>
      <c r="T86" s="12"/>
      <c r="X86" s="71"/>
    </row>
    <row r="87" spans="6:24" s="14" customFormat="1">
      <c r="F87" s="71"/>
      <c r="J87" s="12"/>
      <c r="K87" s="12"/>
      <c r="L87" s="12"/>
      <c r="M87" s="12"/>
      <c r="N87" s="12"/>
      <c r="O87" s="12"/>
      <c r="P87" s="12"/>
      <c r="Q87" s="12"/>
      <c r="R87" s="12"/>
      <c r="S87" s="12"/>
      <c r="T87" s="12"/>
      <c r="X87" s="71"/>
    </row>
    <row r="88" spans="6:24" s="14" customFormat="1">
      <c r="F88" s="71"/>
      <c r="J88" s="12"/>
      <c r="K88" s="12"/>
      <c r="L88" s="12"/>
      <c r="M88" s="12"/>
      <c r="N88" s="12"/>
      <c r="O88" s="12"/>
      <c r="P88" s="12"/>
      <c r="Q88" s="12"/>
      <c r="R88" s="12"/>
      <c r="S88" s="12"/>
      <c r="T88" s="12"/>
      <c r="X88" s="71"/>
    </row>
    <row r="89" spans="6:24" s="14" customFormat="1">
      <c r="F89" s="71"/>
      <c r="J89" s="12"/>
      <c r="K89" s="12"/>
      <c r="L89" s="12"/>
      <c r="M89" s="12"/>
      <c r="N89" s="12"/>
      <c r="O89" s="12"/>
      <c r="P89" s="12"/>
      <c r="Q89" s="12"/>
      <c r="R89" s="12"/>
      <c r="S89" s="12"/>
      <c r="T89" s="12"/>
      <c r="X89" s="71"/>
    </row>
    <row r="90" spans="6:24" s="14" customFormat="1">
      <c r="F90" s="71"/>
      <c r="J90" s="12"/>
      <c r="K90" s="12"/>
      <c r="L90" s="12"/>
      <c r="M90" s="12"/>
      <c r="N90" s="12"/>
      <c r="O90" s="12"/>
      <c r="P90" s="12"/>
      <c r="Q90" s="12"/>
      <c r="R90" s="12"/>
      <c r="S90" s="12"/>
      <c r="T90" s="12"/>
      <c r="X90" s="71"/>
    </row>
    <row r="91" spans="6:24" s="14" customFormat="1">
      <c r="F91" s="71"/>
      <c r="J91" s="12"/>
      <c r="K91" s="12"/>
      <c r="L91" s="12"/>
      <c r="M91" s="12"/>
      <c r="N91" s="12"/>
      <c r="O91" s="12"/>
      <c r="P91" s="12"/>
      <c r="Q91" s="12"/>
      <c r="R91" s="12"/>
      <c r="S91" s="12"/>
      <c r="T91" s="12"/>
      <c r="X91" s="71"/>
    </row>
    <row r="92" spans="6:24" s="14" customFormat="1">
      <c r="F92" s="71"/>
      <c r="J92" s="12"/>
      <c r="K92" s="12"/>
      <c r="L92" s="12"/>
      <c r="M92" s="12"/>
      <c r="N92" s="12"/>
      <c r="O92" s="12"/>
      <c r="P92" s="12"/>
      <c r="Q92" s="12"/>
      <c r="R92" s="12"/>
      <c r="S92" s="12"/>
      <c r="T92" s="12"/>
      <c r="X92" s="71"/>
    </row>
    <row r="93" spans="6:24" s="14" customFormat="1">
      <c r="F93" s="71"/>
      <c r="J93" s="12"/>
      <c r="K93" s="12"/>
      <c r="L93" s="12"/>
      <c r="M93" s="12"/>
      <c r="N93" s="12"/>
      <c r="O93" s="12"/>
      <c r="P93" s="12"/>
      <c r="Q93" s="12"/>
      <c r="R93" s="12"/>
      <c r="S93" s="12"/>
      <c r="T93" s="12"/>
      <c r="X93" s="71"/>
    </row>
    <row r="94" spans="6:24" s="14" customFormat="1">
      <c r="F94" s="71"/>
      <c r="J94" s="12"/>
      <c r="K94" s="12"/>
      <c r="L94" s="12"/>
      <c r="M94" s="12"/>
      <c r="N94" s="12"/>
      <c r="O94" s="12"/>
      <c r="P94" s="12"/>
      <c r="Q94" s="12"/>
      <c r="R94" s="12"/>
      <c r="S94" s="12"/>
      <c r="T94" s="12"/>
      <c r="X94" s="71"/>
    </row>
    <row r="95" spans="6:24" s="14" customFormat="1">
      <c r="F95" s="71"/>
      <c r="J95" s="12"/>
      <c r="K95" s="12"/>
      <c r="L95" s="12"/>
      <c r="M95" s="12"/>
      <c r="N95" s="12"/>
      <c r="O95" s="12"/>
      <c r="P95" s="12"/>
      <c r="Q95" s="12"/>
      <c r="R95" s="12"/>
      <c r="S95" s="12"/>
      <c r="T95" s="12"/>
      <c r="X95" s="71"/>
    </row>
    <row r="96" spans="6:24" s="14" customFormat="1">
      <c r="F96" s="71"/>
      <c r="J96" s="12"/>
      <c r="K96" s="12"/>
      <c r="L96" s="12"/>
      <c r="M96" s="12"/>
      <c r="N96" s="12"/>
      <c r="O96" s="12"/>
      <c r="P96" s="12"/>
      <c r="Q96" s="12"/>
      <c r="R96" s="12"/>
      <c r="S96" s="12"/>
      <c r="T96" s="12"/>
      <c r="X96" s="71"/>
    </row>
    <row r="97" spans="6:24" s="14" customFormat="1">
      <c r="F97" s="71"/>
      <c r="J97" s="12"/>
      <c r="K97" s="12"/>
      <c r="L97" s="12"/>
      <c r="M97" s="12"/>
      <c r="N97" s="12"/>
      <c r="O97" s="12"/>
      <c r="P97" s="12"/>
      <c r="Q97" s="12"/>
      <c r="R97" s="12"/>
      <c r="S97" s="12"/>
      <c r="T97" s="12"/>
      <c r="X97" s="71"/>
    </row>
    <row r="98" spans="6:24" s="14" customFormat="1">
      <c r="F98" s="71"/>
      <c r="J98" s="12"/>
      <c r="K98" s="12"/>
      <c r="L98" s="12"/>
      <c r="M98" s="12"/>
      <c r="N98" s="12"/>
      <c r="O98" s="12"/>
      <c r="P98" s="12"/>
      <c r="Q98" s="12"/>
      <c r="R98" s="12"/>
      <c r="S98" s="12"/>
      <c r="T98" s="12"/>
      <c r="X98" s="71"/>
    </row>
    <row r="99" spans="6:24" s="14" customFormat="1">
      <c r="F99" s="71"/>
      <c r="J99" s="12"/>
      <c r="K99" s="12"/>
      <c r="L99" s="12"/>
      <c r="M99" s="12"/>
      <c r="N99" s="12"/>
      <c r="O99" s="12"/>
      <c r="P99" s="12"/>
      <c r="Q99" s="12"/>
      <c r="R99" s="12"/>
      <c r="S99" s="12"/>
      <c r="T99" s="12"/>
      <c r="X99" s="71"/>
    </row>
    <row r="100" spans="6:24" s="14" customFormat="1">
      <c r="F100" s="71"/>
      <c r="J100" s="12"/>
      <c r="K100" s="12"/>
      <c r="L100" s="12"/>
      <c r="M100" s="12"/>
      <c r="N100" s="12"/>
      <c r="O100" s="12"/>
      <c r="P100" s="12"/>
      <c r="Q100" s="12"/>
      <c r="R100" s="12"/>
      <c r="S100" s="12"/>
      <c r="T100" s="12"/>
      <c r="X100" s="71"/>
    </row>
    <row r="101" spans="6:24" s="14" customFormat="1">
      <c r="F101" s="71"/>
      <c r="J101" s="12"/>
      <c r="K101" s="12"/>
      <c r="L101" s="12"/>
      <c r="M101" s="12"/>
      <c r="N101" s="12"/>
      <c r="O101" s="12"/>
      <c r="P101" s="12"/>
      <c r="Q101" s="12"/>
      <c r="R101" s="12"/>
      <c r="S101" s="12"/>
      <c r="T101" s="12"/>
      <c r="X101" s="71"/>
    </row>
    <row r="102" spans="6:24" s="14" customFormat="1">
      <c r="F102" s="71"/>
      <c r="J102" s="12"/>
      <c r="K102" s="12"/>
      <c r="L102" s="12"/>
      <c r="M102" s="12"/>
      <c r="N102" s="12"/>
      <c r="O102" s="12"/>
      <c r="P102" s="12"/>
      <c r="Q102" s="12"/>
      <c r="R102" s="12"/>
      <c r="S102" s="12"/>
      <c r="T102" s="12"/>
      <c r="X102" s="71"/>
    </row>
    <row r="103" spans="6:24" s="14" customFormat="1">
      <c r="F103" s="71"/>
      <c r="J103" s="12"/>
      <c r="K103" s="12"/>
      <c r="L103" s="12"/>
      <c r="M103" s="12"/>
      <c r="N103" s="12"/>
      <c r="O103" s="12"/>
      <c r="P103" s="12"/>
      <c r="Q103" s="12"/>
      <c r="R103" s="12"/>
      <c r="S103" s="12"/>
      <c r="T103" s="12"/>
      <c r="X103" s="71"/>
    </row>
    <row r="104" spans="6:24" s="14" customFormat="1">
      <c r="F104" s="71"/>
      <c r="J104" s="12"/>
      <c r="K104" s="12"/>
      <c r="L104" s="12"/>
      <c r="M104" s="12"/>
      <c r="N104" s="12"/>
      <c r="O104" s="12"/>
      <c r="P104" s="12"/>
      <c r="Q104" s="12"/>
      <c r="R104" s="12"/>
      <c r="S104" s="12"/>
      <c r="T104" s="12"/>
      <c r="X104" s="71"/>
    </row>
    <row r="105" spans="6:24" s="14" customFormat="1">
      <c r="F105" s="71"/>
      <c r="J105" s="12"/>
      <c r="K105" s="12"/>
      <c r="L105" s="12"/>
      <c r="M105" s="12"/>
      <c r="N105" s="12"/>
      <c r="O105" s="12"/>
      <c r="P105" s="12"/>
      <c r="Q105" s="12"/>
      <c r="R105" s="12"/>
      <c r="S105" s="12"/>
      <c r="T105" s="12"/>
      <c r="X105" s="71"/>
    </row>
    <row r="106" spans="6:24" s="14" customFormat="1">
      <c r="F106" s="71"/>
      <c r="J106" s="12"/>
      <c r="K106" s="12"/>
      <c r="L106" s="12"/>
      <c r="M106" s="12"/>
      <c r="N106" s="12"/>
      <c r="O106" s="12"/>
      <c r="P106" s="12"/>
      <c r="Q106" s="12"/>
      <c r="R106" s="12"/>
      <c r="S106" s="12"/>
      <c r="T106" s="12"/>
      <c r="X106" s="71"/>
    </row>
    <row r="107" spans="6:24" s="14" customFormat="1">
      <c r="F107" s="71"/>
      <c r="J107" s="12"/>
      <c r="K107" s="12"/>
      <c r="L107" s="12"/>
      <c r="M107" s="12"/>
      <c r="N107" s="12"/>
      <c r="O107" s="12"/>
      <c r="P107" s="12"/>
      <c r="Q107" s="12"/>
      <c r="R107" s="12"/>
      <c r="S107" s="12"/>
      <c r="T107" s="12"/>
      <c r="X107" s="71"/>
    </row>
    <row r="108" spans="6:24" s="14" customFormat="1">
      <c r="F108" s="71"/>
      <c r="J108" s="12"/>
      <c r="K108" s="12"/>
      <c r="L108" s="12"/>
      <c r="M108" s="12"/>
      <c r="N108" s="12"/>
      <c r="O108" s="12"/>
      <c r="P108" s="12"/>
      <c r="Q108" s="12"/>
      <c r="R108" s="12"/>
      <c r="S108" s="12"/>
      <c r="T108" s="12"/>
      <c r="X108" s="71"/>
    </row>
    <row r="109" spans="6:24" s="14" customFormat="1">
      <c r="F109" s="71"/>
      <c r="J109" s="12"/>
      <c r="K109" s="12"/>
      <c r="L109" s="12"/>
      <c r="M109" s="12"/>
      <c r="N109" s="12"/>
      <c r="O109" s="12"/>
      <c r="P109" s="12"/>
      <c r="Q109" s="12"/>
      <c r="R109" s="12"/>
      <c r="S109" s="12"/>
      <c r="T109" s="12"/>
      <c r="X109" s="71"/>
    </row>
    <row r="110" spans="6:24" s="14" customFormat="1">
      <c r="F110" s="71"/>
      <c r="J110" s="12"/>
      <c r="K110" s="12"/>
      <c r="L110" s="12"/>
      <c r="M110" s="12"/>
      <c r="N110" s="12"/>
      <c r="O110" s="12"/>
      <c r="P110" s="12"/>
      <c r="Q110" s="12"/>
      <c r="R110" s="12"/>
      <c r="S110" s="12"/>
      <c r="T110" s="12"/>
      <c r="X110" s="71"/>
    </row>
    <row r="111" spans="6:24" s="14" customFormat="1">
      <c r="F111" s="71"/>
      <c r="J111" s="12"/>
      <c r="K111" s="12"/>
      <c r="L111" s="12"/>
      <c r="M111" s="12"/>
      <c r="N111" s="12"/>
      <c r="O111" s="12"/>
      <c r="P111" s="12"/>
      <c r="Q111" s="12"/>
      <c r="R111" s="12"/>
      <c r="S111" s="12"/>
      <c r="T111" s="12"/>
      <c r="X111" s="71"/>
    </row>
    <row r="112" spans="6:24" s="14" customFormat="1">
      <c r="F112" s="71"/>
      <c r="J112" s="12"/>
      <c r="K112" s="12"/>
      <c r="L112" s="12"/>
      <c r="M112" s="12"/>
      <c r="N112" s="12"/>
      <c r="O112" s="12"/>
      <c r="P112" s="12"/>
      <c r="Q112" s="12"/>
      <c r="R112" s="12"/>
      <c r="S112" s="12"/>
      <c r="T112" s="12"/>
      <c r="X112" s="71"/>
    </row>
    <row r="113" spans="6:24" s="14" customFormat="1">
      <c r="F113" s="71"/>
      <c r="J113" s="12"/>
      <c r="K113" s="12"/>
      <c r="L113" s="12"/>
      <c r="M113" s="12"/>
      <c r="N113" s="12"/>
      <c r="O113" s="12"/>
      <c r="P113" s="12"/>
      <c r="Q113" s="12"/>
      <c r="R113" s="12"/>
      <c r="S113" s="12"/>
      <c r="T113" s="12"/>
      <c r="X113" s="71"/>
    </row>
    <row r="114" spans="6:24" s="14" customFormat="1">
      <c r="F114" s="71"/>
      <c r="J114" s="12"/>
      <c r="K114" s="12"/>
      <c r="L114" s="12"/>
      <c r="M114" s="12"/>
      <c r="N114" s="12"/>
      <c r="O114" s="12"/>
      <c r="P114" s="12"/>
      <c r="Q114" s="12"/>
      <c r="R114" s="12"/>
      <c r="S114" s="12"/>
      <c r="T114" s="12"/>
      <c r="X114" s="71"/>
    </row>
    <row r="115" spans="6:24" s="14" customFormat="1">
      <c r="F115" s="71"/>
      <c r="J115" s="12"/>
      <c r="K115" s="12"/>
      <c r="L115" s="12"/>
      <c r="M115" s="12"/>
      <c r="N115" s="12"/>
      <c r="O115" s="12"/>
      <c r="P115" s="12"/>
      <c r="Q115" s="12"/>
      <c r="R115" s="12"/>
      <c r="S115" s="12"/>
      <c r="T115" s="12"/>
      <c r="X115" s="71"/>
    </row>
    <row r="116" spans="6:24" s="14" customFormat="1">
      <c r="F116" s="71"/>
      <c r="J116" s="12"/>
      <c r="K116" s="12"/>
      <c r="L116" s="12"/>
      <c r="M116" s="12"/>
      <c r="N116" s="12"/>
      <c r="O116" s="12"/>
      <c r="P116" s="12"/>
      <c r="Q116" s="12"/>
      <c r="R116" s="12"/>
      <c r="S116" s="12"/>
      <c r="T116" s="12"/>
      <c r="X116" s="71"/>
    </row>
    <row r="117" spans="6:24" s="14" customFormat="1">
      <c r="F117" s="71"/>
      <c r="K117" s="12"/>
      <c r="L117" s="12"/>
      <c r="M117" s="12"/>
      <c r="N117" s="12"/>
      <c r="O117" s="12"/>
      <c r="P117" s="12"/>
      <c r="Q117" s="12"/>
      <c r="R117" s="12"/>
      <c r="T117" s="12"/>
      <c r="X117" s="71"/>
    </row>
    <row r="118" spans="6:24" s="14" customFormat="1">
      <c r="F118" s="71"/>
      <c r="O118" s="71"/>
      <c r="X118" s="71"/>
    </row>
    <row r="119" spans="6:24" s="14" customFormat="1">
      <c r="F119" s="71"/>
      <c r="O119" s="71"/>
      <c r="X119" s="71"/>
    </row>
    <row r="120" spans="6:24" s="14" customFormat="1">
      <c r="F120" s="71"/>
      <c r="O120" s="71"/>
      <c r="X120" s="71"/>
    </row>
    <row r="121" spans="6:24" s="14" customFormat="1">
      <c r="F121" s="71"/>
      <c r="O121" s="71"/>
      <c r="X121" s="71"/>
    </row>
    <row r="122" spans="6:24" s="14" customFormat="1">
      <c r="F122" s="71"/>
      <c r="O122" s="71"/>
      <c r="X122" s="71"/>
    </row>
    <row r="123" spans="6:24" s="14" customFormat="1">
      <c r="F123" s="71"/>
      <c r="O123" s="71"/>
      <c r="X123" s="71"/>
    </row>
    <row r="124" spans="6:24" s="14" customFormat="1">
      <c r="F124" s="71"/>
      <c r="O124" s="71"/>
      <c r="X124" s="71"/>
    </row>
    <row r="125" spans="6:24" s="14" customFormat="1">
      <c r="F125" s="71"/>
      <c r="O125" s="71"/>
      <c r="X125" s="71"/>
    </row>
    <row r="126" spans="6:24" s="14" customFormat="1">
      <c r="F126" s="71"/>
      <c r="O126" s="71"/>
      <c r="X126" s="71"/>
    </row>
    <row r="127" spans="6:24" s="14" customFormat="1">
      <c r="F127" s="71"/>
      <c r="O127" s="71"/>
      <c r="X127" s="71"/>
    </row>
    <row r="128" spans="6:24" s="14" customFormat="1">
      <c r="F128" s="71"/>
      <c r="O128" s="71"/>
      <c r="X128" s="71"/>
    </row>
    <row r="129" spans="6:24" s="14" customFormat="1">
      <c r="F129" s="71"/>
      <c r="O129" s="71"/>
      <c r="X129" s="71"/>
    </row>
    <row r="130" spans="6:24" s="14" customFormat="1">
      <c r="F130" s="71"/>
      <c r="O130" s="71"/>
      <c r="X130" s="71"/>
    </row>
    <row r="131" spans="6:24" s="14" customFormat="1">
      <c r="F131" s="71"/>
      <c r="O131" s="71"/>
      <c r="X131" s="71"/>
    </row>
    <row r="132" spans="6:24" s="14" customFormat="1">
      <c r="F132" s="71"/>
      <c r="O132" s="71"/>
      <c r="X132" s="71"/>
    </row>
    <row r="133" spans="6:24" s="14" customFormat="1">
      <c r="F133" s="71"/>
      <c r="O133" s="71"/>
      <c r="X133" s="71"/>
    </row>
    <row r="134" spans="6:24" s="14" customFormat="1">
      <c r="F134" s="71"/>
      <c r="O134" s="71"/>
      <c r="X134" s="71"/>
    </row>
    <row r="135" spans="6:24" s="14" customFormat="1">
      <c r="F135" s="71"/>
      <c r="O135" s="71"/>
      <c r="X135" s="71"/>
    </row>
    <row r="136" spans="6:24" s="14" customFormat="1">
      <c r="F136" s="71"/>
      <c r="O136" s="71"/>
      <c r="X136" s="71"/>
    </row>
  </sheetData>
  <sheetProtection algorithmName="SHA-512" hashValue="JduiEwJuepU/Fv753rjG+s+nXoFjaLw7WvpFCHuL8c6Y1+tIqxMXq+OROP10FRtrnJGL6K4aOU83383mTsClEQ==" saltValue="oHeClS2hZPO+rXT6WwuqNQ==" spinCount="100000" sheet="1" objects="1" scenarios="1"/>
  <mergeCells count="35">
    <mergeCell ref="AD9:AK9"/>
    <mergeCell ref="AD32:AK32"/>
    <mergeCell ref="W54:AA54"/>
    <mergeCell ref="B24:I24"/>
    <mergeCell ref="T9:AA9"/>
    <mergeCell ref="T19:AA19"/>
    <mergeCell ref="B38:I38"/>
    <mergeCell ref="T30:AA30"/>
    <mergeCell ref="B9:I9"/>
    <mergeCell ref="K22:R22"/>
    <mergeCell ref="T51:AA51"/>
    <mergeCell ref="W53:AA53"/>
    <mergeCell ref="K41:R41"/>
    <mergeCell ref="K9:R9"/>
    <mergeCell ref="AD40:AK40"/>
    <mergeCell ref="B7:C7"/>
    <mergeCell ref="D7:I7"/>
    <mergeCell ref="B4:C4"/>
    <mergeCell ref="D4:I4"/>
    <mergeCell ref="B5:C5"/>
    <mergeCell ref="D5:I5"/>
    <mergeCell ref="B6:C6"/>
    <mergeCell ref="D6:I6"/>
    <mergeCell ref="W55:AA55"/>
    <mergeCell ref="B65:AA65"/>
    <mergeCell ref="P60:AA60"/>
    <mergeCell ref="D60:O60"/>
    <mergeCell ref="B61:C61"/>
    <mergeCell ref="B62:C62"/>
    <mergeCell ref="D61:O61"/>
    <mergeCell ref="D62:O62"/>
    <mergeCell ref="P61:AA61"/>
    <mergeCell ref="W56:AA56"/>
    <mergeCell ref="P62:S62"/>
    <mergeCell ref="T62:AA62"/>
  </mergeCells>
  <phoneticPr fontId="5" type="noConversion"/>
  <conditionalFormatting sqref="B11:D21 B25:D35 B40:D50 K11:M19 K24:M38 K43:M51 T32:V44">
    <cfRule type="cellIs" dxfId="20" priority="19" operator="equal">
      <formula>""</formula>
    </cfRule>
    <cfRule type="cellIs" dxfId="19" priority="20" operator="notEqual">
      <formula>""</formula>
    </cfRule>
  </conditionalFormatting>
  <conditionalFormatting sqref="T11:V16">
    <cfRule type="cellIs" dxfId="18" priority="9" operator="equal">
      <formula>""</formula>
    </cfRule>
    <cfRule type="cellIs" dxfId="17" priority="10" operator="notEqual">
      <formula>""</formula>
    </cfRule>
  </conditionalFormatting>
  <conditionalFormatting sqref="T21:V27">
    <cfRule type="cellIs" dxfId="16" priority="7" operator="equal">
      <formula>""</formula>
    </cfRule>
    <cfRule type="cellIs" dxfId="15" priority="8" operator="notEqual">
      <formula>""</formula>
    </cfRule>
  </conditionalFormatting>
  <conditionalFormatting sqref="AD11:AF29">
    <cfRule type="cellIs" dxfId="14" priority="5" operator="equal">
      <formula>""</formula>
    </cfRule>
    <cfRule type="cellIs" dxfId="13" priority="6" operator="notEqual">
      <formula>""</formula>
    </cfRule>
  </conditionalFormatting>
  <conditionalFormatting sqref="AD34:AF37">
    <cfRule type="cellIs" dxfId="12" priority="3" operator="equal">
      <formula>""</formula>
    </cfRule>
    <cfRule type="cellIs" dxfId="11" priority="4" operator="notEqual">
      <formula>""</formula>
    </cfRule>
  </conditionalFormatting>
  <conditionalFormatting sqref="AD42:AD43">
    <cfRule type="cellIs" dxfId="10" priority="1" operator="equal">
      <formula>""</formula>
    </cfRule>
    <cfRule type="cellIs" dxfId="9" priority="2" operator="notEqual">
      <formula>""</formula>
    </cfRule>
  </conditionalFormatting>
  <dataValidations count="1">
    <dataValidation type="list" allowBlank="1" showInputMessage="1" showErrorMessage="1" sqref="H57" xr:uid="{00000000-0002-0000-0200-000000000000}">
      <formula1>"Yes,No"</formula1>
    </dataValidation>
  </dataValidations>
  <pageMargins left="0.7" right="0.7" top="0.75" bottom="0.75" header="0.3" footer="0.3"/>
  <pageSetup scale="6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P117"/>
  <sheetViews>
    <sheetView topLeftCell="C1" zoomScale="85" zoomScaleNormal="85" zoomScalePageLayoutView="85" workbookViewId="0">
      <selection activeCell="M5" sqref="M5"/>
    </sheetView>
  </sheetViews>
  <sheetFormatPr baseColWidth="10" defaultColWidth="8.83203125" defaultRowHeight="15"/>
  <cols>
    <col min="2" max="2" width="39.33203125" bestFit="1" customWidth="1"/>
    <col min="3" max="3" width="12.6640625" bestFit="1" customWidth="1"/>
    <col min="4" max="4" width="4" bestFit="1" customWidth="1"/>
    <col min="8" max="8" width="9.83203125" customWidth="1"/>
    <col min="9" max="9" width="13.5" customWidth="1"/>
    <col min="10" max="10" width="11.6640625" customWidth="1"/>
    <col min="11" max="11" width="24" bestFit="1" customWidth="1"/>
    <col min="12" max="12" width="45.33203125" bestFit="1" customWidth="1"/>
    <col min="13" max="13" width="11.33203125" customWidth="1"/>
    <col min="14" max="14" width="10.6640625" customWidth="1"/>
    <col min="15" max="15" width="8.5" bestFit="1" customWidth="1"/>
    <col min="16" max="16" width="8" bestFit="1" customWidth="1"/>
    <col min="17" max="17" width="17.33203125" customWidth="1"/>
    <col min="19" max="19" width="8.83203125" customWidth="1"/>
  </cols>
  <sheetData>
    <row r="1" spans="1:16" ht="16" thickBot="1">
      <c r="A1" t="s">
        <v>26</v>
      </c>
      <c r="B1" s="2" t="s">
        <v>24</v>
      </c>
      <c r="I1" s="2" t="s">
        <v>32</v>
      </c>
    </row>
    <row r="2" spans="1:16" ht="16" thickBot="1">
      <c r="A2" t="s">
        <v>27</v>
      </c>
      <c r="B2" s="4" t="s">
        <v>25</v>
      </c>
      <c r="I2" s="4" t="s">
        <v>33</v>
      </c>
      <c r="J2" s="6" t="s">
        <v>42</v>
      </c>
      <c r="K2" s="7" t="s">
        <v>279</v>
      </c>
    </row>
    <row r="3" spans="1:16">
      <c r="A3" s="3" t="s">
        <v>23</v>
      </c>
      <c r="B3" s="3" t="s">
        <v>21</v>
      </c>
      <c r="C3" s="3" t="s">
        <v>22</v>
      </c>
      <c r="D3" s="3" t="s">
        <v>72</v>
      </c>
      <c r="I3" s="3" t="s">
        <v>31</v>
      </c>
      <c r="J3" s="3" t="s">
        <v>21</v>
      </c>
      <c r="K3" s="3" t="s">
        <v>34</v>
      </c>
      <c r="L3" s="3" t="s">
        <v>35</v>
      </c>
      <c r="M3" s="3" t="s">
        <v>37</v>
      </c>
      <c r="N3" s="3" t="s">
        <v>29</v>
      </c>
      <c r="O3" s="3" t="s">
        <v>30</v>
      </c>
      <c r="P3" s="3" t="s">
        <v>28</v>
      </c>
    </row>
    <row r="4" spans="1:16" ht="15" customHeight="1">
      <c r="A4" t="s">
        <v>73</v>
      </c>
      <c r="B4" t="s">
        <v>74</v>
      </c>
      <c r="C4" t="s">
        <v>15</v>
      </c>
      <c r="D4" t="s">
        <v>5</v>
      </c>
      <c r="I4" t="s">
        <v>279</v>
      </c>
      <c r="J4" t="s">
        <v>279</v>
      </c>
      <c r="K4" s="5" t="s">
        <v>36</v>
      </c>
      <c r="L4" s="69" t="str">
        <f ca="1">IF(N4-points_achieved&gt;=0, N4-points_achieved&amp;" still needed for Silver, "&amp;O4-points_achieved&amp;" for Gold, "&amp;P4-points_achieved&amp;" for Platinum",
IF(O4-points_achieved&gt;=0,"0 still needed for silver, "&amp;O4-points_achieved&amp;" for Gold, "&amp;P4-points_achieved&amp;" for Platinum","0 still needed for Silver, 0 for Gold, "&amp;P4-points_achieved&amp;" for Platinum"))</f>
        <v>50 still needed for Silver, 60 for Gold, 80 for Platinum</v>
      </c>
      <c r="M4" s="5">
        <f>COUNTIF(D:D,"P")</f>
        <v>10</v>
      </c>
      <c r="N4">
        <v>50</v>
      </c>
      <c r="O4">
        <v>60</v>
      </c>
      <c r="P4">
        <v>80</v>
      </c>
    </row>
    <row r="5" spans="1:16" ht="15" customHeight="1">
      <c r="A5" t="s">
        <v>75</v>
      </c>
      <c r="B5" t="s">
        <v>76</v>
      </c>
      <c r="C5" t="s">
        <v>15</v>
      </c>
      <c r="D5" t="s">
        <v>6</v>
      </c>
      <c r="K5" s="5"/>
      <c r="L5" s="68" t="s">
        <v>773</v>
      </c>
      <c r="M5">
        <f ca="1">IF('Certification Matrix'!H57="yes",SUM('Certification Matrix'!T54:U54)+MIN(10,SUM('Certification Matrix'!T55:U55)),SUM('Certification Matrix'!T54:T55))+'Certification Matrix'!AD44</f>
        <v>0</v>
      </c>
    </row>
    <row r="6" spans="1:16" ht="15" customHeight="1">
      <c r="A6" t="s">
        <v>77</v>
      </c>
      <c r="B6" t="s">
        <v>78</v>
      </c>
      <c r="C6" t="s">
        <v>15</v>
      </c>
      <c r="D6" t="s">
        <v>6</v>
      </c>
      <c r="J6" s="74" t="s">
        <v>812</v>
      </c>
      <c r="L6" s="70" t="s">
        <v>915</v>
      </c>
      <c r="M6" t="str">
        <f ca="1">IF('Certification Matrix'!P61="All preconditions satisfied.",OFFSET(Admin!M3,0,MATCH(Admin!M5,Admin!N4:P4,1)),"NONE")</f>
        <v>NONE</v>
      </c>
    </row>
    <row r="7" spans="1:16">
      <c r="A7" t="s">
        <v>79</v>
      </c>
      <c r="B7" t="s">
        <v>64</v>
      </c>
      <c r="C7" t="s">
        <v>15</v>
      </c>
      <c r="D7" t="s">
        <v>6</v>
      </c>
      <c r="J7" s="72" t="str">
        <f ca="1">IF(PRODUCT('Certification Matrix'!T45,'Certification Matrix'!K52,'Certification Matrix'!K39,'Certification Matrix'!B51,'Certification Matrix'!T28,'Certification Matrix'!T17,'Certification Matrix'!K20,'Certification Matrix'!B22,'Certification Matrix'!AD30)&gt;0,"Yes","No")</f>
        <v>No</v>
      </c>
      <c r="K7" s="73" t="s">
        <v>814</v>
      </c>
      <c r="L7" s="68" t="s">
        <v>802</v>
      </c>
      <c r="M7" t="str">
        <f>IF('Project Checklist'!I29="No",IF('Project Checklist'!I30="yes","Silver",IF('Project Checklist'!I31="Yes","Gold","Not certified")),"Platinum")</f>
        <v>Platinum</v>
      </c>
    </row>
    <row r="8" spans="1:16">
      <c r="A8" t="s">
        <v>80</v>
      </c>
      <c r="B8" t="s">
        <v>65</v>
      </c>
      <c r="C8" t="s">
        <v>15</v>
      </c>
      <c r="D8" t="s">
        <v>6</v>
      </c>
      <c r="J8" s="72" t="str">
        <f ca="1">IF(PRODUCT('Certification Matrix'!B22+'Certification Matrix'!C22,'Certification Matrix'!AD30+'Certification Matrix'!AE30,'Certification Matrix'!K20+'Certification Matrix'!L20,'Certification Matrix'!T17+'Certification Matrix'!U17,'Certification Matrix'!U28+'Certification Matrix'!T28,'Certification Matrix'!U45+'Certification Matrix'!T45,'Certification Matrix'!L39+'Certification Matrix'!K39,'Certification Matrix'!B36+'Certification Matrix'!C36,'Certification Matrix'!L52+'Certification Matrix'!K52,'Certification Matrix'!C51+'Certification Matrix'!B51)&gt;0,"Yes","No")</f>
        <v>No</v>
      </c>
      <c r="K8" s="73" t="s">
        <v>813</v>
      </c>
      <c r="L8" s="68" t="s">
        <v>803</v>
      </c>
      <c r="M8" t="str">
        <f ca="1">IF(points_achieved&lt;N4,"Not certified -- insufficient points",OFFSET(M3,0,MIN(MATCH(M6,N3:P3,0),MATCH(M7,N3:P3,0))))</f>
        <v>Not certified -- insufficient points</v>
      </c>
    </row>
    <row r="9" spans="1:16">
      <c r="A9" t="s">
        <v>81</v>
      </c>
      <c r="B9" t="s">
        <v>66</v>
      </c>
      <c r="C9" t="s">
        <v>15</v>
      </c>
      <c r="D9" t="s">
        <v>6</v>
      </c>
      <c r="I9" s="70"/>
      <c r="J9" s="72" t="str">
        <f ca="1">IF('Certification Matrix'!H57="yes",Admin!J8,Admin!J7)</f>
        <v>No</v>
      </c>
      <c r="K9" s="73" t="s">
        <v>815</v>
      </c>
    </row>
    <row r="10" spans="1:16">
      <c r="A10" t="s">
        <v>82</v>
      </c>
      <c r="B10" t="s">
        <v>67</v>
      </c>
      <c r="C10" t="s">
        <v>15</v>
      </c>
      <c r="D10" t="s">
        <v>6</v>
      </c>
      <c r="M10" s="2" t="s">
        <v>784</v>
      </c>
    </row>
    <row r="11" spans="1:16">
      <c r="A11" t="s">
        <v>83</v>
      </c>
      <c r="B11" t="s">
        <v>68</v>
      </c>
      <c r="C11" t="s">
        <v>15</v>
      </c>
      <c r="D11" t="s">
        <v>6</v>
      </c>
      <c r="H11" s="53" t="s">
        <v>46</v>
      </c>
      <c r="I11" t="s">
        <v>763</v>
      </c>
      <c r="K11" s="73"/>
      <c r="M11" t="s">
        <v>785</v>
      </c>
      <c r="N11" t="s">
        <v>782</v>
      </c>
      <c r="O11" t="s">
        <v>783</v>
      </c>
    </row>
    <row r="12" spans="1:16">
      <c r="A12" t="s">
        <v>84</v>
      </c>
      <c r="B12" t="s">
        <v>69</v>
      </c>
      <c r="C12" t="s">
        <v>15</v>
      </c>
      <c r="D12" t="s">
        <v>6</v>
      </c>
      <c r="H12" s="53" t="s">
        <v>763</v>
      </c>
      <c r="I12">
        <v>0</v>
      </c>
      <c r="M12">
        <v>0</v>
      </c>
      <c r="N12" s="61">
        <v>0</v>
      </c>
      <c r="O12">
        <v>0</v>
      </c>
    </row>
    <row r="13" spans="1:16">
      <c r="A13" t="s">
        <v>85</v>
      </c>
      <c r="B13" t="s">
        <v>70</v>
      </c>
      <c r="C13" t="s">
        <v>15</v>
      </c>
      <c r="D13" t="s">
        <v>6</v>
      </c>
      <c r="H13" s="53" t="s">
        <v>769</v>
      </c>
      <c r="I13">
        <v>1</v>
      </c>
      <c r="M13">
        <v>3</v>
      </c>
      <c r="N13" s="61">
        <v>0.3</v>
      </c>
      <c r="O13">
        <v>3</v>
      </c>
    </row>
    <row r="14" spans="1:16" ht="15" customHeight="1">
      <c r="A14" t="s">
        <v>86</v>
      </c>
      <c r="B14" t="s">
        <v>71</v>
      </c>
      <c r="C14" t="s">
        <v>15</v>
      </c>
      <c r="D14" t="s">
        <v>6</v>
      </c>
      <c r="H14" s="53" t="s">
        <v>770</v>
      </c>
      <c r="I14">
        <v>2</v>
      </c>
      <c r="M14">
        <v>4</v>
      </c>
      <c r="N14" s="61">
        <v>0.4</v>
      </c>
      <c r="O14">
        <v>5</v>
      </c>
    </row>
    <row r="15" spans="1:16">
      <c r="A15" s="1" t="s">
        <v>87</v>
      </c>
      <c r="B15" t="s">
        <v>88</v>
      </c>
      <c r="C15" t="s">
        <v>16</v>
      </c>
      <c r="D15" t="s">
        <v>5</v>
      </c>
      <c r="I15">
        <v>3</v>
      </c>
      <c r="M15">
        <v>5</v>
      </c>
      <c r="N15" s="61">
        <v>0.5</v>
      </c>
      <c r="O15">
        <v>8</v>
      </c>
    </row>
    <row r="16" spans="1:16">
      <c r="A16" s="1" t="s">
        <v>89</v>
      </c>
      <c r="B16" t="s">
        <v>90</v>
      </c>
      <c r="C16" t="s">
        <v>16</v>
      </c>
      <c r="D16" t="s">
        <v>6</v>
      </c>
      <c r="I16">
        <v>4</v>
      </c>
      <c r="M16">
        <v>6</v>
      </c>
      <c r="N16" s="61">
        <v>0.6</v>
      </c>
      <c r="O16">
        <v>13</v>
      </c>
    </row>
    <row r="17" spans="1:15">
      <c r="A17" s="1" t="s">
        <v>91</v>
      </c>
      <c r="B17" t="s">
        <v>7</v>
      </c>
      <c r="C17" t="s">
        <v>16</v>
      </c>
      <c r="D17" t="s">
        <v>6</v>
      </c>
      <c r="I17">
        <v>5</v>
      </c>
      <c r="M17">
        <v>7</v>
      </c>
      <c r="N17" s="61">
        <v>0.7</v>
      </c>
      <c r="O17">
        <v>21</v>
      </c>
    </row>
    <row r="18" spans="1:15">
      <c r="A18" s="1" t="s">
        <v>92</v>
      </c>
      <c r="B18" t="s">
        <v>93</v>
      </c>
      <c r="C18" t="s">
        <v>16</v>
      </c>
      <c r="D18" t="s">
        <v>6</v>
      </c>
      <c r="I18">
        <v>6</v>
      </c>
      <c r="M18">
        <v>8</v>
      </c>
      <c r="N18" s="61">
        <v>0.8</v>
      </c>
      <c r="O18">
        <v>30</v>
      </c>
    </row>
    <row r="19" spans="1:15">
      <c r="A19" s="1" t="s">
        <v>94</v>
      </c>
      <c r="B19" t="s">
        <v>95</v>
      </c>
      <c r="C19" t="s">
        <v>16</v>
      </c>
      <c r="D19" t="s">
        <v>6</v>
      </c>
      <c r="I19">
        <v>7</v>
      </c>
    </row>
    <row r="20" spans="1:15">
      <c r="A20" s="1" t="s">
        <v>96</v>
      </c>
      <c r="B20" t="s">
        <v>97</v>
      </c>
      <c r="C20" t="s">
        <v>16</v>
      </c>
      <c r="D20" t="s">
        <v>6</v>
      </c>
      <c r="I20">
        <v>8</v>
      </c>
      <c r="M20">
        <f>VLOOKUP('Project Checklist'!E14,certBldg[],3,1)</f>
        <v>0</v>
      </c>
      <c r="N20" t="s">
        <v>786</v>
      </c>
    </row>
    <row r="21" spans="1:15">
      <c r="A21" s="1" t="s">
        <v>98</v>
      </c>
      <c r="B21" t="s">
        <v>99</v>
      </c>
      <c r="C21" t="s">
        <v>16</v>
      </c>
      <c r="D21" t="s">
        <v>6</v>
      </c>
      <c r="I21">
        <v>9</v>
      </c>
      <c r="M21" t="e">
        <f>VLOOKUP(MAX(areaPercent,countPercent),certBldg[[Percent certified]:[points]],2,1)</f>
        <v>#DIV/0!</v>
      </c>
      <c r="N21" t="s">
        <v>787</v>
      </c>
    </row>
    <row r="22" spans="1:15">
      <c r="A22" s="1" t="s">
        <v>100</v>
      </c>
      <c r="B22" t="s">
        <v>101</v>
      </c>
      <c r="C22" t="s">
        <v>16</v>
      </c>
      <c r="D22" t="s">
        <v>6</v>
      </c>
      <c r="I22">
        <v>10</v>
      </c>
    </row>
    <row r="23" spans="1:15">
      <c r="A23" s="1" t="s">
        <v>102</v>
      </c>
      <c r="B23" t="s">
        <v>103</v>
      </c>
      <c r="C23" t="s">
        <v>16</v>
      </c>
      <c r="D23" t="s">
        <v>6</v>
      </c>
      <c r="M23" s="60" t="e">
        <f>'Project Checklist'!E14/'Project Checklist'!E15</f>
        <v>#DIV/0!</v>
      </c>
      <c r="N23" t="s">
        <v>776</v>
      </c>
    </row>
    <row r="24" spans="1:15">
      <c r="A24" s="1" t="s">
        <v>104</v>
      </c>
      <c r="B24" t="s">
        <v>105</v>
      </c>
      <c r="C24" t="s">
        <v>16</v>
      </c>
      <c r="D24" t="s">
        <v>6</v>
      </c>
      <c r="M24" s="60">
        <f>IF('Project Checklist'!E17&gt;0,'Project Checklist'!E16/'Project Checklist'!E17,0)</f>
        <v>0</v>
      </c>
      <c r="N24" t="s">
        <v>781</v>
      </c>
    </row>
    <row r="25" spans="1:15">
      <c r="A25" s="1" t="s">
        <v>106</v>
      </c>
      <c r="B25" t="s">
        <v>107</v>
      </c>
      <c r="C25" t="s">
        <v>17</v>
      </c>
      <c r="D25" t="s">
        <v>5</v>
      </c>
    </row>
    <row r="26" spans="1:15">
      <c r="A26" s="1" t="s">
        <v>108</v>
      </c>
      <c r="B26" t="s">
        <v>109</v>
      </c>
      <c r="C26" t="s">
        <v>17</v>
      </c>
      <c r="D26" t="s">
        <v>6</v>
      </c>
    </row>
    <row r="27" spans="1:15">
      <c r="A27" s="1" t="s">
        <v>110</v>
      </c>
      <c r="B27" t="s">
        <v>111</v>
      </c>
      <c r="C27" t="s">
        <v>17</v>
      </c>
      <c r="D27" t="s">
        <v>6</v>
      </c>
    </row>
    <row r="28" spans="1:15">
      <c r="A28" s="1" t="s">
        <v>112</v>
      </c>
      <c r="B28" t="s">
        <v>113</v>
      </c>
      <c r="C28" t="s">
        <v>17</v>
      </c>
      <c r="D28" t="s">
        <v>6</v>
      </c>
    </row>
    <row r="29" spans="1:15">
      <c r="A29" s="1" t="s">
        <v>114</v>
      </c>
      <c r="B29" t="s">
        <v>115</v>
      </c>
      <c r="C29" t="s">
        <v>17</v>
      </c>
      <c r="D29" t="s">
        <v>6</v>
      </c>
    </row>
    <row r="30" spans="1:15">
      <c r="A30" s="1" t="s">
        <v>116</v>
      </c>
      <c r="B30" t="s">
        <v>824</v>
      </c>
      <c r="C30" t="s">
        <v>17</v>
      </c>
      <c r="D30" t="s">
        <v>6</v>
      </c>
    </row>
    <row r="31" spans="1:15">
      <c r="A31" s="1" t="s">
        <v>117</v>
      </c>
      <c r="B31" t="s">
        <v>825</v>
      </c>
      <c r="C31" t="s">
        <v>17</v>
      </c>
      <c r="D31" t="s">
        <v>6</v>
      </c>
    </row>
    <row r="32" spans="1:15">
      <c r="A32" s="1" t="s">
        <v>118</v>
      </c>
      <c r="B32" t="s">
        <v>119</v>
      </c>
      <c r="C32" t="s">
        <v>17</v>
      </c>
      <c r="D32" t="s">
        <v>6</v>
      </c>
    </row>
    <row r="33" spans="1:4">
      <c r="A33" s="1" t="s">
        <v>120</v>
      </c>
      <c r="B33" t="s">
        <v>121</v>
      </c>
      <c r="C33" t="s">
        <v>17</v>
      </c>
      <c r="D33" t="s">
        <v>6</v>
      </c>
    </row>
    <row r="34" spans="1:4">
      <c r="A34" s="1" t="s">
        <v>122</v>
      </c>
      <c r="B34" t="s">
        <v>123</v>
      </c>
      <c r="C34" t="s">
        <v>17</v>
      </c>
      <c r="D34" t="s">
        <v>6</v>
      </c>
    </row>
    <row r="35" spans="1:4">
      <c r="A35" s="1" t="s">
        <v>124</v>
      </c>
      <c r="B35" t="s">
        <v>125</v>
      </c>
      <c r="C35" t="s">
        <v>17</v>
      </c>
      <c r="D35" t="s">
        <v>6</v>
      </c>
    </row>
    <row r="36" spans="1:4">
      <c r="A36" s="1" t="s">
        <v>126</v>
      </c>
      <c r="B36" t="s">
        <v>127</v>
      </c>
      <c r="C36" t="s">
        <v>18</v>
      </c>
      <c r="D36" t="s">
        <v>5</v>
      </c>
    </row>
    <row r="37" spans="1:4">
      <c r="A37" s="1" t="s">
        <v>128</v>
      </c>
      <c r="B37" t="s">
        <v>129</v>
      </c>
      <c r="C37" t="s">
        <v>18</v>
      </c>
      <c r="D37" t="s">
        <v>6</v>
      </c>
    </row>
    <row r="38" spans="1:4">
      <c r="A38" s="1" t="s">
        <v>130</v>
      </c>
      <c r="B38" t="s">
        <v>131</v>
      </c>
      <c r="C38" t="s">
        <v>18</v>
      </c>
      <c r="D38" t="s">
        <v>6</v>
      </c>
    </row>
    <row r="39" spans="1:4">
      <c r="A39" s="1" t="s">
        <v>132</v>
      </c>
      <c r="B39" t="s">
        <v>133</v>
      </c>
      <c r="C39" t="s">
        <v>18</v>
      </c>
      <c r="D39" t="s">
        <v>6</v>
      </c>
    </row>
    <row r="40" spans="1:4">
      <c r="A40" s="1" t="s">
        <v>134</v>
      </c>
      <c r="B40" t="s">
        <v>135</v>
      </c>
      <c r="C40" t="s">
        <v>18</v>
      </c>
      <c r="D40" t="s">
        <v>6</v>
      </c>
    </row>
    <row r="41" spans="1:4">
      <c r="A41" s="1" t="s">
        <v>136</v>
      </c>
      <c r="B41" t="s">
        <v>137</v>
      </c>
      <c r="C41" t="s">
        <v>18</v>
      </c>
      <c r="D41" t="s">
        <v>6</v>
      </c>
    </row>
    <row r="42" spans="1:4">
      <c r="A42" s="1" t="s">
        <v>138</v>
      </c>
      <c r="B42" t="s">
        <v>139</v>
      </c>
      <c r="C42" t="s">
        <v>18</v>
      </c>
      <c r="D42" t="s">
        <v>6</v>
      </c>
    </row>
    <row r="43" spans="1:4">
      <c r="A43" s="1" t="s">
        <v>140</v>
      </c>
      <c r="B43" t="s">
        <v>141</v>
      </c>
      <c r="C43" t="s">
        <v>18</v>
      </c>
      <c r="D43" t="s">
        <v>6</v>
      </c>
    </row>
    <row r="44" spans="1:4">
      <c r="A44" s="1" t="s">
        <v>142</v>
      </c>
      <c r="B44" t="s">
        <v>143</v>
      </c>
      <c r="C44" t="s">
        <v>18</v>
      </c>
      <c r="D44" t="s">
        <v>6</v>
      </c>
    </row>
    <row r="45" spans="1:4">
      <c r="A45" s="1" t="s">
        <v>144</v>
      </c>
      <c r="B45" t="s">
        <v>145</v>
      </c>
      <c r="C45" t="s">
        <v>19</v>
      </c>
      <c r="D45" t="s">
        <v>5</v>
      </c>
    </row>
    <row r="46" spans="1:4">
      <c r="A46" s="1" t="s">
        <v>708</v>
      </c>
      <c r="B46" t="s">
        <v>146</v>
      </c>
      <c r="C46" t="s">
        <v>19</v>
      </c>
      <c r="D46" t="s">
        <v>6</v>
      </c>
    </row>
    <row r="47" spans="1:4">
      <c r="A47" s="1" t="s">
        <v>147</v>
      </c>
      <c r="B47" t="s">
        <v>148</v>
      </c>
      <c r="C47" t="s">
        <v>19</v>
      </c>
      <c r="D47" t="s">
        <v>6</v>
      </c>
    </row>
    <row r="48" spans="1:4">
      <c r="A48" s="1" t="s">
        <v>149</v>
      </c>
      <c r="B48" t="s">
        <v>150</v>
      </c>
      <c r="C48" t="s">
        <v>19</v>
      </c>
      <c r="D48" t="s">
        <v>6</v>
      </c>
    </row>
    <row r="49" spans="1:4">
      <c r="A49" s="1" t="s">
        <v>151</v>
      </c>
      <c r="B49" t="s">
        <v>152</v>
      </c>
      <c r="C49" t="s">
        <v>19</v>
      </c>
      <c r="D49" t="s">
        <v>6</v>
      </c>
    </row>
    <row r="50" spans="1:4">
      <c r="A50" s="1" t="s">
        <v>153</v>
      </c>
      <c r="B50" t="s">
        <v>154</v>
      </c>
      <c r="C50" t="s">
        <v>19</v>
      </c>
      <c r="D50" t="s">
        <v>6</v>
      </c>
    </row>
    <row r="51" spans="1:4">
      <c r="A51" s="1" t="s">
        <v>155</v>
      </c>
      <c r="B51" t="s">
        <v>156</v>
      </c>
      <c r="C51" t="s">
        <v>19</v>
      </c>
      <c r="D51" t="s">
        <v>6</v>
      </c>
    </row>
    <row r="52" spans="1:4">
      <c r="A52" s="1" t="s">
        <v>157</v>
      </c>
      <c r="B52" t="s">
        <v>158</v>
      </c>
      <c r="C52" t="s">
        <v>19</v>
      </c>
      <c r="D52" t="s">
        <v>6</v>
      </c>
    </row>
    <row r="53" spans="1:4">
      <c r="A53" s="1" t="s">
        <v>159</v>
      </c>
      <c r="B53" t="s">
        <v>160</v>
      </c>
      <c r="C53" t="s">
        <v>19</v>
      </c>
      <c r="D53" t="s">
        <v>6</v>
      </c>
    </row>
    <row r="54" spans="1:4">
      <c r="A54" s="1" t="s">
        <v>161</v>
      </c>
      <c r="B54" t="s">
        <v>162</v>
      </c>
      <c r="C54" t="s">
        <v>19</v>
      </c>
      <c r="D54" t="s">
        <v>6</v>
      </c>
    </row>
    <row r="55" spans="1:4">
      <c r="A55" s="1" t="s">
        <v>163</v>
      </c>
      <c r="B55" t="s">
        <v>164</v>
      </c>
      <c r="C55" t="s">
        <v>19</v>
      </c>
      <c r="D55" t="s">
        <v>6</v>
      </c>
    </row>
    <row r="56" spans="1:4">
      <c r="A56" s="1" t="s">
        <v>165</v>
      </c>
      <c r="B56" t="s">
        <v>166</v>
      </c>
      <c r="C56" t="s">
        <v>19</v>
      </c>
      <c r="D56" t="s">
        <v>6</v>
      </c>
    </row>
    <row r="57" spans="1:4">
      <c r="A57" s="1" t="s">
        <v>167</v>
      </c>
      <c r="B57" t="s">
        <v>8</v>
      </c>
      <c r="C57" t="s">
        <v>19</v>
      </c>
      <c r="D57" t="s">
        <v>6</v>
      </c>
    </row>
    <row r="58" spans="1:4">
      <c r="A58" s="1" t="s">
        <v>168</v>
      </c>
      <c r="B58" t="s">
        <v>169</v>
      </c>
      <c r="C58" t="s">
        <v>19</v>
      </c>
      <c r="D58" t="s">
        <v>6</v>
      </c>
    </row>
    <row r="59" spans="1:4">
      <c r="A59" s="1" t="s">
        <v>170</v>
      </c>
      <c r="B59" t="s">
        <v>171</v>
      </c>
      <c r="C59" t="s">
        <v>19</v>
      </c>
      <c r="D59" t="s">
        <v>6</v>
      </c>
    </row>
    <row r="60" spans="1:4">
      <c r="A60" s="1" t="s">
        <v>172</v>
      </c>
      <c r="B60" t="s">
        <v>173</v>
      </c>
      <c r="C60" t="s">
        <v>190</v>
      </c>
      <c r="D60" t="s">
        <v>5</v>
      </c>
    </row>
    <row r="61" spans="1:4">
      <c r="A61" s="1" t="s">
        <v>174</v>
      </c>
      <c r="B61" t="s">
        <v>175</v>
      </c>
      <c r="C61" t="s">
        <v>190</v>
      </c>
      <c r="D61" t="s">
        <v>6</v>
      </c>
    </row>
    <row r="62" spans="1:4">
      <c r="A62" s="1" t="s">
        <v>176</v>
      </c>
      <c r="B62" t="s">
        <v>177</v>
      </c>
      <c r="C62" t="s">
        <v>190</v>
      </c>
      <c r="D62" t="s">
        <v>6</v>
      </c>
    </row>
    <row r="63" spans="1:4">
      <c r="A63" s="1" t="s">
        <v>178</v>
      </c>
      <c r="B63" t="s">
        <v>179</v>
      </c>
      <c r="C63" t="s">
        <v>190</v>
      </c>
      <c r="D63" t="s">
        <v>6</v>
      </c>
    </row>
    <row r="64" spans="1:4">
      <c r="A64" s="1" t="s">
        <v>180</v>
      </c>
      <c r="B64" t="s">
        <v>181</v>
      </c>
      <c r="C64" t="s">
        <v>190</v>
      </c>
      <c r="D64" t="s">
        <v>6</v>
      </c>
    </row>
    <row r="65" spans="1:4">
      <c r="A65" s="1" t="s">
        <v>182</v>
      </c>
      <c r="B65" t="s">
        <v>183</v>
      </c>
      <c r="C65" t="s">
        <v>190</v>
      </c>
      <c r="D65" t="s">
        <v>6</v>
      </c>
    </row>
    <row r="66" spans="1:4">
      <c r="A66" s="1" t="s">
        <v>184</v>
      </c>
      <c r="B66" t="s">
        <v>185</v>
      </c>
      <c r="C66" t="s">
        <v>190</v>
      </c>
      <c r="D66" t="s">
        <v>6</v>
      </c>
    </row>
    <row r="67" spans="1:4">
      <c r="A67" s="1" t="s">
        <v>186</v>
      </c>
      <c r="B67" t="s">
        <v>187</v>
      </c>
      <c r="C67" t="s">
        <v>190</v>
      </c>
      <c r="D67" t="s">
        <v>6</v>
      </c>
    </row>
    <row r="68" spans="1:4">
      <c r="A68" s="1" t="s">
        <v>188</v>
      </c>
      <c r="B68" t="s">
        <v>189</v>
      </c>
      <c r="C68" t="s">
        <v>190</v>
      </c>
      <c r="D68" t="s">
        <v>6</v>
      </c>
    </row>
    <row r="69" spans="1:4">
      <c r="A69" s="1" t="s">
        <v>191</v>
      </c>
      <c r="B69" t="s">
        <v>192</v>
      </c>
      <c r="C69" t="s">
        <v>203</v>
      </c>
      <c r="D69" t="s">
        <v>204</v>
      </c>
    </row>
    <row r="70" spans="1:4">
      <c r="A70" s="1" t="s">
        <v>193</v>
      </c>
      <c r="B70" t="s">
        <v>194</v>
      </c>
      <c r="C70" t="s">
        <v>203</v>
      </c>
      <c r="D70" t="s">
        <v>6</v>
      </c>
    </row>
    <row r="71" spans="1:4">
      <c r="A71" s="1" t="s">
        <v>195</v>
      </c>
      <c r="B71" t="s">
        <v>196</v>
      </c>
      <c r="C71" t="s">
        <v>203</v>
      </c>
      <c r="D71" t="s">
        <v>6</v>
      </c>
    </row>
    <row r="72" spans="1:4">
      <c r="A72" s="1" t="s">
        <v>197</v>
      </c>
      <c r="B72" t="s">
        <v>198</v>
      </c>
      <c r="C72" t="s">
        <v>203</v>
      </c>
      <c r="D72" t="s">
        <v>6</v>
      </c>
    </row>
    <row r="73" spans="1:4">
      <c r="A73" s="1" t="s">
        <v>199</v>
      </c>
      <c r="B73" t="s">
        <v>200</v>
      </c>
      <c r="C73" t="s">
        <v>203</v>
      </c>
      <c r="D73" t="s">
        <v>6</v>
      </c>
    </row>
    <row r="74" spans="1:4">
      <c r="A74" s="1" t="s">
        <v>201</v>
      </c>
      <c r="B74" t="s">
        <v>202</v>
      </c>
      <c r="C74" t="s">
        <v>203</v>
      </c>
      <c r="D74" t="s">
        <v>6</v>
      </c>
    </row>
    <row r="75" spans="1:4">
      <c r="A75" s="1" t="s">
        <v>205</v>
      </c>
      <c r="B75" t="s">
        <v>839</v>
      </c>
      <c r="C75" t="s">
        <v>218</v>
      </c>
      <c r="D75" t="s">
        <v>5</v>
      </c>
    </row>
    <row r="76" spans="1:4">
      <c r="A76" s="1" t="s">
        <v>206</v>
      </c>
      <c r="B76" t="s">
        <v>207</v>
      </c>
      <c r="C76" t="s">
        <v>218</v>
      </c>
      <c r="D76" t="s">
        <v>6</v>
      </c>
    </row>
    <row r="77" spans="1:4">
      <c r="A77" s="1" t="s">
        <v>208</v>
      </c>
      <c r="B77" t="s">
        <v>209</v>
      </c>
      <c r="C77" t="s">
        <v>218</v>
      </c>
      <c r="D77" t="s">
        <v>6</v>
      </c>
    </row>
    <row r="78" spans="1:4">
      <c r="A78" s="1" t="s">
        <v>210</v>
      </c>
      <c r="B78" t="s">
        <v>211</v>
      </c>
      <c r="C78" t="s">
        <v>218</v>
      </c>
      <c r="D78" t="s">
        <v>6</v>
      </c>
    </row>
    <row r="79" spans="1:4">
      <c r="A79" s="1" t="s">
        <v>212</v>
      </c>
      <c r="B79" t="s">
        <v>213</v>
      </c>
      <c r="C79" t="s">
        <v>218</v>
      </c>
      <c r="D79" t="s">
        <v>6</v>
      </c>
    </row>
    <row r="80" spans="1:4">
      <c r="A80" s="1" t="s">
        <v>214</v>
      </c>
      <c r="B80" t="s">
        <v>215</v>
      </c>
      <c r="C80" t="s">
        <v>218</v>
      </c>
      <c r="D80" t="s">
        <v>6</v>
      </c>
    </row>
    <row r="81" spans="1:4">
      <c r="A81" s="1" t="s">
        <v>216</v>
      </c>
      <c r="B81" t="s">
        <v>217</v>
      </c>
      <c r="C81" t="s">
        <v>218</v>
      </c>
      <c r="D81" t="s">
        <v>6</v>
      </c>
    </row>
    <row r="82" spans="1:4">
      <c r="A82" s="1" t="s">
        <v>219</v>
      </c>
      <c r="B82" t="s">
        <v>220</v>
      </c>
      <c r="C82" t="s">
        <v>20</v>
      </c>
      <c r="D82" t="s">
        <v>5</v>
      </c>
    </row>
    <row r="83" spans="1:4">
      <c r="A83" s="1" t="s">
        <v>221</v>
      </c>
      <c r="B83" t="s">
        <v>222</v>
      </c>
      <c r="C83" t="s">
        <v>20</v>
      </c>
      <c r="D83" t="s">
        <v>6</v>
      </c>
    </row>
    <row r="84" spans="1:4">
      <c r="A84" s="1" t="s">
        <v>223</v>
      </c>
      <c r="B84" t="s">
        <v>224</v>
      </c>
      <c r="C84" t="s">
        <v>20</v>
      </c>
      <c r="D84" t="s">
        <v>6</v>
      </c>
    </row>
    <row r="85" spans="1:4">
      <c r="A85" s="1" t="s">
        <v>225</v>
      </c>
      <c r="B85" t="s">
        <v>226</v>
      </c>
      <c r="C85" t="s">
        <v>20</v>
      </c>
      <c r="D85" t="s">
        <v>6</v>
      </c>
    </row>
    <row r="86" spans="1:4">
      <c r="A86" s="1" t="s">
        <v>227</v>
      </c>
      <c r="B86" t="s">
        <v>810</v>
      </c>
      <c r="C86" t="s">
        <v>20</v>
      </c>
      <c r="D86" t="s">
        <v>6</v>
      </c>
    </row>
    <row r="87" spans="1:4">
      <c r="A87" s="1" t="s">
        <v>228</v>
      </c>
      <c r="B87" t="s">
        <v>229</v>
      </c>
      <c r="C87" t="s">
        <v>20</v>
      </c>
      <c r="D87" t="s">
        <v>6</v>
      </c>
    </row>
    <row r="88" spans="1:4">
      <c r="A88" s="1" t="s">
        <v>230</v>
      </c>
      <c r="B88" t="s">
        <v>231</v>
      </c>
      <c r="C88" t="s">
        <v>20</v>
      </c>
      <c r="D88" t="s">
        <v>6</v>
      </c>
    </row>
    <row r="89" spans="1:4">
      <c r="A89" s="1" t="s">
        <v>232</v>
      </c>
      <c r="B89" t="s">
        <v>233</v>
      </c>
      <c r="C89" t="s">
        <v>20</v>
      </c>
      <c r="D89" t="s">
        <v>6</v>
      </c>
    </row>
    <row r="90" spans="1:4">
      <c r="A90" s="1" t="s">
        <v>234</v>
      </c>
      <c r="B90" t="s">
        <v>235</v>
      </c>
      <c r="C90" t="s">
        <v>20</v>
      </c>
      <c r="D90" t="s">
        <v>6</v>
      </c>
    </row>
    <row r="91" spans="1:4">
      <c r="A91" s="1" t="s">
        <v>236</v>
      </c>
      <c r="B91" t="s">
        <v>237</v>
      </c>
      <c r="C91" t="s">
        <v>20</v>
      </c>
      <c r="D91" t="s">
        <v>6</v>
      </c>
    </row>
    <row r="92" spans="1:4">
      <c r="A92" s="1" t="s">
        <v>238</v>
      </c>
      <c r="B92" t="s">
        <v>239</v>
      </c>
      <c r="C92" t="s">
        <v>20</v>
      </c>
      <c r="D92" t="s">
        <v>6</v>
      </c>
    </row>
    <row r="93" spans="1:4">
      <c r="A93" s="1" t="s">
        <v>240</v>
      </c>
      <c r="B93" t="s">
        <v>241</v>
      </c>
      <c r="C93" t="s">
        <v>20</v>
      </c>
      <c r="D93" t="s">
        <v>6</v>
      </c>
    </row>
    <row r="94" spans="1:4">
      <c r="A94" s="1" t="s">
        <v>242</v>
      </c>
      <c r="B94" t="s">
        <v>243</v>
      </c>
      <c r="C94" t="s">
        <v>20</v>
      </c>
      <c r="D94" t="s">
        <v>6</v>
      </c>
    </row>
    <row r="95" spans="1:4">
      <c r="A95" s="1" t="s">
        <v>244</v>
      </c>
      <c r="B95" t="s">
        <v>245</v>
      </c>
      <c r="C95" t="s">
        <v>279</v>
      </c>
      <c r="D95" t="s">
        <v>5</v>
      </c>
    </row>
    <row r="96" spans="1:4">
      <c r="A96" s="1" t="s">
        <v>246</v>
      </c>
      <c r="B96" t="s">
        <v>247</v>
      </c>
      <c r="C96" t="s">
        <v>279</v>
      </c>
      <c r="D96" t="s">
        <v>6</v>
      </c>
    </row>
    <row r="97" spans="1:4">
      <c r="A97" s="1" t="s">
        <v>248</v>
      </c>
      <c r="B97" t="s">
        <v>249</v>
      </c>
      <c r="C97" t="s">
        <v>279</v>
      </c>
      <c r="D97" t="s">
        <v>6</v>
      </c>
    </row>
    <row r="98" spans="1:4">
      <c r="A98" s="1" t="s">
        <v>250</v>
      </c>
      <c r="B98" t="s">
        <v>251</v>
      </c>
      <c r="C98" t="s">
        <v>279</v>
      </c>
      <c r="D98" t="s">
        <v>6</v>
      </c>
    </row>
    <row r="99" spans="1:4">
      <c r="A99" s="1" t="s">
        <v>252</v>
      </c>
      <c r="B99" t="s">
        <v>848</v>
      </c>
      <c r="C99" t="s">
        <v>279</v>
      </c>
      <c r="D99" t="s">
        <v>6</v>
      </c>
    </row>
    <row r="100" spans="1:4">
      <c r="A100" s="1" t="s">
        <v>253</v>
      </c>
      <c r="B100" t="s">
        <v>254</v>
      </c>
      <c r="C100" t="s">
        <v>279</v>
      </c>
      <c r="D100" t="s">
        <v>6</v>
      </c>
    </row>
    <row r="101" spans="1:4">
      <c r="A101" s="1" t="s">
        <v>255</v>
      </c>
      <c r="B101" t="s">
        <v>256</v>
      </c>
      <c r="C101" t="s">
        <v>279</v>
      </c>
      <c r="D101" t="s">
        <v>6</v>
      </c>
    </row>
    <row r="102" spans="1:4">
      <c r="A102" s="1" t="s">
        <v>257</v>
      </c>
      <c r="B102" t="s">
        <v>258</v>
      </c>
      <c r="C102" t="s">
        <v>279</v>
      </c>
      <c r="D102" t="s">
        <v>6</v>
      </c>
    </row>
    <row r="103" spans="1:4">
      <c r="A103" s="1" t="s">
        <v>259</v>
      </c>
      <c r="B103" t="s">
        <v>811</v>
      </c>
      <c r="C103" t="s">
        <v>279</v>
      </c>
      <c r="D103" t="s">
        <v>6</v>
      </c>
    </row>
    <row r="104" spans="1:4">
      <c r="A104" s="1" t="s">
        <v>260</v>
      </c>
      <c r="B104" t="s">
        <v>261</v>
      </c>
      <c r="C104" t="s">
        <v>279</v>
      </c>
      <c r="D104" t="s">
        <v>6</v>
      </c>
    </row>
    <row r="105" spans="1:4">
      <c r="A105" s="1" t="s">
        <v>262</v>
      </c>
      <c r="B105" t="s">
        <v>263</v>
      </c>
      <c r="C105" t="s">
        <v>279</v>
      </c>
      <c r="D105" t="s">
        <v>6</v>
      </c>
    </row>
    <row r="106" spans="1:4">
      <c r="A106" s="1" t="s">
        <v>264</v>
      </c>
      <c r="B106" t="s">
        <v>265</v>
      </c>
      <c r="C106" t="s">
        <v>279</v>
      </c>
      <c r="D106" t="s">
        <v>6</v>
      </c>
    </row>
    <row r="107" spans="1:4">
      <c r="A107" s="1" t="s">
        <v>266</v>
      </c>
      <c r="B107" t="s">
        <v>267</v>
      </c>
      <c r="C107" t="s">
        <v>279</v>
      </c>
      <c r="D107" t="s">
        <v>6</v>
      </c>
    </row>
    <row r="108" spans="1:4">
      <c r="A108" s="1" t="s">
        <v>268</v>
      </c>
      <c r="B108" t="s">
        <v>269</v>
      </c>
      <c r="C108" t="s">
        <v>279</v>
      </c>
      <c r="D108" t="s">
        <v>6</v>
      </c>
    </row>
    <row r="109" spans="1:4">
      <c r="A109" t="s">
        <v>270</v>
      </c>
      <c r="B109" t="s">
        <v>271</v>
      </c>
      <c r="C109" t="s">
        <v>279</v>
      </c>
      <c r="D109" t="s">
        <v>6</v>
      </c>
    </row>
    <row r="110" spans="1:4">
      <c r="A110" t="s">
        <v>272</v>
      </c>
      <c r="B110" t="s">
        <v>273</v>
      </c>
      <c r="C110" t="s">
        <v>279</v>
      </c>
      <c r="D110" t="s">
        <v>6</v>
      </c>
    </row>
    <row r="111" spans="1:4">
      <c r="A111" t="s">
        <v>274</v>
      </c>
      <c r="B111" t="s">
        <v>275</v>
      </c>
      <c r="C111" t="s">
        <v>279</v>
      </c>
      <c r="D111" t="s">
        <v>6</v>
      </c>
    </row>
    <row r="112" spans="1:4">
      <c r="A112" t="s">
        <v>276</v>
      </c>
      <c r="B112" t="s">
        <v>277</v>
      </c>
      <c r="C112" t="s">
        <v>279</v>
      </c>
      <c r="D112" t="s">
        <v>6</v>
      </c>
    </row>
    <row r="113" spans="1:4">
      <c r="A113" t="s">
        <v>278</v>
      </c>
      <c r="B113" t="s">
        <v>9</v>
      </c>
      <c r="C113" t="s">
        <v>279</v>
      </c>
      <c r="D113" t="s">
        <v>6</v>
      </c>
    </row>
    <row r="114" spans="1:4">
      <c r="A114" t="s">
        <v>627</v>
      </c>
      <c r="B114" t="s">
        <v>628</v>
      </c>
      <c r="C114" t="s">
        <v>629</v>
      </c>
      <c r="D114" t="s">
        <v>6</v>
      </c>
    </row>
    <row r="115" spans="1:4">
      <c r="A115" t="s">
        <v>631</v>
      </c>
      <c r="B115" t="s">
        <v>630</v>
      </c>
      <c r="C115" t="s">
        <v>629</v>
      </c>
      <c r="D115" t="s">
        <v>6</v>
      </c>
    </row>
    <row r="116" spans="1:4">
      <c r="A116" t="s">
        <v>632</v>
      </c>
      <c r="B116" t="s">
        <v>633</v>
      </c>
      <c r="C116" t="s">
        <v>629</v>
      </c>
      <c r="D116" t="s">
        <v>6</v>
      </c>
    </row>
    <row r="117" spans="1:4">
      <c r="A117" t="s">
        <v>634</v>
      </c>
      <c r="B117" t="s">
        <v>635</v>
      </c>
      <c r="C117" t="s">
        <v>629</v>
      </c>
      <c r="D117" t="s">
        <v>6</v>
      </c>
    </row>
  </sheetData>
  <conditionalFormatting sqref="M23">
    <cfRule type="cellIs" dxfId="8" priority="3" operator="equal">
      <formula>"O"</formula>
    </cfRule>
    <cfRule type="cellIs" dxfId="7" priority="4" operator="equal">
      <formula>"P"</formula>
    </cfRule>
  </conditionalFormatting>
  <conditionalFormatting sqref="M24">
    <cfRule type="cellIs" dxfId="6" priority="1" operator="equal">
      <formula>"O"</formula>
    </cfRule>
    <cfRule type="cellIs" dxfId="5" priority="2" operator="equal">
      <formula>"P"</formula>
    </cfRule>
  </conditionalFormatting>
  <dataValidations count="1">
    <dataValidation type="list" allowBlank="1" showInputMessage="1" showErrorMessage="1" sqref="K2" xr:uid="{00000000-0002-0000-0300-000000000000}">
      <formula1>$I$4</formula1>
    </dataValidation>
  </dataValidations>
  <pageMargins left="0.7" right="0.7" top="0.75" bottom="0.75" header="0.3" footer="0.3"/>
  <pageSetup paperSize="9" orientation="portrait" horizontalDpi="4294967295" verticalDpi="4294967295"/>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60</vt:i4>
      </vt:variant>
    </vt:vector>
  </HeadingPairs>
  <TitlesOfParts>
    <vt:vector size="64" baseType="lpstr">
      <vt:lpstr>Instructions</vt:lpstr>
      <vt:lpstr>Project Checklist</vt:lpstr>
      <vt:lpstr>Certification Matrix</vt:lpstr>
      <vt:lpstr>Admin</vt:lpstr>
      <vt:lpstr>areaPercent</vt:lpstr>
      <vt:lpstr>countPercent</vt:lpstr>
      <vt:lpstr>ctrlTypo</vt:lpstr>
      <vt:lpstr>listCreditPvO</vt:lpstr>
      <vt:lpstr>listLvlAir</vt:lpstr>
      <vt:lpstr>listLvlCommunity</vt:lpstr>
      <vt:lpstr>ListLvlFit</vt:lpstr>
      <vt:lpstr>listLvlInnovation</vt:lpstr>
      <vt:lpstr>listLvlLight</vt:lpstr>
      <vt:lpstr>listLvlMaterial</vt:lpstr>
      <vt:lpstr>listLvlMind</vt:lpstr>
      <vt:lpstr>listLvlNourish</vt:lpstr>
      <vt:lpstr>listLvlSound</vt:lpstr>
      <vt:lpstr>listLvlTemperature</vt:lpstr>
      <vt:lpstr>listLvlWater</vt:lpstr>
      <vt:lpstr>listNAir</vt:lpstr>
      <vt:lpstr>listNCommunity</vt:lpstr>
      <vt:lpstr>listNFit</vt:lpstr>
      <vt:lpstr>listNInnovation</vt:lpstr>
      <vt:lpstr>listNLight</vt:lpstr>
      <vt:lpstr>listNMaterial</vt:lpstr>
      <vt:lpstr>listNMind</vt:lpstr>
      <vt:lpstr>listNNourish</vt:lpstr>
      <vt:lpstr>listNSound</vt:lpstr>
      <vt:lpstr>listNTemperature</vt:lpstr>
      <vt:lpstr>listNWater</vt:lpstr>
      <vt:lpstr>listqAir</vt:lpstr>
      <vt:lpstr>listQCommunity</vt:lpstr>
      <vt:lpstr>ListQFit</vt:lpstr>
      <vt:lpstr>listQInnovation</vt:lpstr>
      <vt:lpstr>listQLight</vt:lpstr>
      <vt:lpstr>listQMaterial</vt:lpstr>
      <vt:lpstr>listQMind</vt:lpstr>
      <vt:lpstr>listQNourish</vt:lpstr>
      <vt:lpstr>listQSound</vt:lpstr>
      <vt:lpstr>listQTemperature</vt:lpstr>
      <vt:lpstr>listQWater</vt:lpstr>
      <vt:lpstr>listReqApp</vt:lpstr>
      <vt:lpstr>listReqCredits</vt:lpstr>
      <vt:lpstr>listReqStatus</vt:lpstr>
      <vt:lpstr>listReqTypo</vt:lpstr>
      <vt:lpstr>listTypo</vt:lpstr>
      <vt:lpstr>listYAir</vt:lpstr>
      <vt:lpstr>listYCommunity</vt:lpstr>
      <vt:lpstr>listYFit</vt:lpstr>
      <vt:lpstr>listYInnovation</vt:lpstr>
      <vt:lpstr>listYLight</vt:lpstr>
      <vt:lpstr>listYMaterial</vt:lpstr>
      <vt:lpstr>listYMind</vt:lpstr>
      <vt:lpstr>listYNourish</vt:lpstr>
      <vt:lpstr>listYSound</vt:lpstr>
      <vt:lpstr>listYTemperature</vt:lpstr>
      <vt:lpstr>listYWater</vt:lpstr>
      <vt:lpstr>points_achieved</vt:lpstr>
      <vt:lpstr>'Certification Matrix'!Print_Area</vt:lpstr>
      <vt:lpstr>'Project Checklist'!Print_Area</vt:lpstr>
      <vt:lpstr>pursuing</vt:lpstr>
      <vt:lpstr>TblCredit</vt:lpstr>
      <vt:lpstr>TblTypo</vt:lpstr>
      <vt:lpstr>Yes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R. Poling;Megan Sparks</dc:creator>
  <cp:lastModifiedBy>Microsoft Office User</cp:lastModifiedBy>
  <cp:lastPrinted>2015-12-16T20:55:08Z</cp:lastPrinted>
  <dcterms:created xsi:type="dcterms:W3CDTF">2015-03-06T16:11:05Z</dcterms:created>
  <dcterms:modified xsi:type="dcterms:W3CDTF">2018-10-25T16:09:19Z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60ecb3be-b95d-44ec-9502-ba1361c2c206</vt:lpwstr>
  </property>
</Properties>
</file>